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7.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I:\Projects\SCA\NSCA1035.00\Docs\Deliverables\"/>
    </mc:Choice>
  </mc:AlternateContent>
  <xr:revisionPtr revIDLastSave="0" documentId="13_ncr:1_{8CCB5698-6042-4F6D-8B31-5C82D1AA3600}" xr6:coauthVersionLast="45" xr6:coauthVersionMax="47" xr10:uidLastSave="{00000000-0000-0000-0000-000000000000}"/>
  <bookViews>
    <workbookView xWindow="-120" yWindow="-120" windowWidth="29040" windowHeight="15840" tabRatio="787" activeTab="1" xr2:uid="{00000000-000D-0000-FFFF-FFFF00000000}"/>
  </bookViews>
  <sheets>
    <sheet name="Instructions" sheetId="18" r:id="rId1"/>
    <sheet name="Summary" sheetId="15" r:id="rId2"/>
    <sheet name="Assumptions" sheetId="10" r:id="rId3"/>
    <sheet name="Baseline Systems" sheetId="34" r:id="rId4"/>
    <sheet name="Energy Cost" sheetId="35" r:id="rId5"/>
    <sheet name="Energy Consumption" sheetId="32" r:id="rId6"/>
    <sheet name="Energy Demand" sheetId="33" r:id="rId7"/>
    <sheet name="Capital Cost" sheetId="1" r:id="rId8"/>
    <sheet name="Annual Maintenance Cost" sheetId="2" r:id="rId9"/>
    <sheet name="Carbon Cost" sheetId="5" r:id="rId10"/>
    <sheet name="System Life Expectancy" sheetId="6" r:id="rId11"/>
    <sheet name="NPV (Low)" sheetId="19" r:id="rId12"/>
    <sheet name="NPV (High)" sheetId="20" r:id="rId13"/>
    <sheet name="NPV (Low) Renewable" sheetId="30" state="hidden" r:id="rId14"/>
    <sheet name="NPV (High) Renewable" sheetId="31" state="hidden" r:id="rId15"/>
    <sheet name="PV" sheetId="28" state="hidden" r:id="rId16"/>
    <sheet name="Cooling Energy Consump. Chart" sheetId="25" state="hidden" r:id="rId17"/>
    <sheet name="Heating Energy Consump. Chart" sheetId="26" state="hidden" r:id="rId18"/>
    <sheet name="Energy Demand Chart" sheetId="24" state="hidden" r:id="rId19"/>
    <sheet name="Energy Cost Chart" sheetId="27" state="hidden" r:id="rId20"/>
    <sheet name="Chiller Efficiencies" sheetId="29" state="hidden" r:id="rId21"/>
    <sheet name="Cooling Energy Consumption" sheetId="21" state="hidden" r:id="rId22"/>
    <sheet name="Heating Energy Consumption" sheetId="22" state="hidden" r:id="rId23"/>
  </sheets>
  <externalReferences>
    <externalReference r:id="rId24"/>
  </externalReferences>
  <definedNames>
    <definedName name="_Order1" hidden="1">255</definedName>
    <definedName name="_Order2" hidden="1">255</definedName>
    <definedName name="Avg_Load" localSheetId="20">#REF!</definedName>
    <definedName name="Avg_Load" localSheetId="14">#REF!</definedName>
    <definedName name="Avg_Load" localSheetId="13">#REF!</definedName>
    <definedName name="Avg_Load" localSheetId="1">#REF!</definedName>
    <definedName name="Avg_Load">#REF!</definedName>
    <definedName name="Demand" localSheetId="20">[1]sum!#REF!</definedName>
    <definedName name="Demand" localSheetId="14">[1]sum!#REF!</definedName>
    <definedName name="Demand" localSheetId="13">[1]sum!#REF!</definedName>
    <definedName name="Demand" localSheetId="1">[1]sum!#REF!</definedName>
    <definedName name="Demand">[1]sum!#REF!</definedName>
    <definedName name="Demand_Charge" localSheetId="14">#REF!</definedName>
    <definedName name="Demand_Charge" localSheetId="13">#REF!</definedName>
    <definedName name="Demand_Charge" localSheetId="1">#REF!</definedName>
    <definedName name="Demand_Charge">#REF!</definedName>
    <definedName name="Demand2" localSheetId="14">[1]sum!#REF!</definedName>
    <definedName name="Demand2" localSheetId="13">[1]sum!#REF!</definedName>
    <definedName name="Demand2" localSheetId="1">[1]sum!#REF!</definedName>
    <definedName name="Demand2">[1]sum!#REF!</definedName>
    <definedName name="Demand3" localSheetId="14">[1]sum!#REF!</definedName>
    <definedName name="Demand3" localSheetId="13">[1]sum!#REF!</definedName>
    <definedName name="Demand3" localSheetId="1">[1]sum!#REF!</definedName>
    <definedName name="Demand3">[1]sum!#REF!</definedName>
    <definedName name="Demand4" localSheetId="14">[1]sum!#REF!</definedName>
    <definedName name="Demand4" localSheetId="13">[1]sum!#REF!</definedName>
    <definedName name="Demand4" localSheetId="1">[1]sum!#REF!</definedName>
    <definedName name="Demand4">[1]sum!#REF!</definedName>
    <definedName name="PAGE4" localSheetId="14">#REF!</definedName>
    <definedName name="PAGE4" localSheetId="13">#REF!</definedName>
    <definedName name="PAGE4" localSheetId="1">#REF!</definedName>
    <definedName name="PAGE4">#REF!</definedName>
    <definedName name="_xlnm.Print_Area" localSheetId="8">'Annual Maintenance Cost'!$A$1:$G$10</definedName>
    <definedName name="_xlnm.Print_Area" localSheetId="2">Assumptions!$A$1:$D$11</definedName>
    <definedName name="_xlnm.Print_Area" localSheetId="3">'Baseline Systems'!$A$1:$I$35</definedName>
    <definedName name="_xlnm.Print_Area" localSheetId="7">'Capital Cost'!$A$1:$O$20</definedName>
    <definedName name="_xlnm.Print_Area" localSheetId="9">'Carbon Cost'!$A$1:$I$25</definedName>
    <definedName name="_xlnm.Print_Area" localSheetId="5">'Energy Consumption'!$A$1:$AI$46</definedName>
    <definedName name="_xlnm.Print_Area" localSheetId="4">'Energy Cost'!$A$1:$N$12</definedName>
    <definedName name="_xlnm.Print_Area" localSheetId="6">'Energy Demand'!$A$1:$O$22</definedName>
    <definedName name="_xlnm.Print_Area" localSheetId="0">Instructions!$A$1:$O$15</definedName>
    <definedName name="_xlnm.Print_Area" localSheetId="12">'NPV (High)'!$A$1:$Z$29</definedName>
    <definedName name="_xlnm.Print_Area" localSheetId="14">'NPV (High) Renewable'!$A$1:$Z$34</definedName>
    <definedName name="_xlnm.Print_Area" localSheetId="11">'NPV (Low)'!$A$1:$Z$29</definedName>
    <definedName name="_xlnm.Print_Area" localSheetId="13">'NPV (Low) Renewable'!$A$1:$Z$34</definedName>
    <definedName name="_xlnm.Print_Area" localSheetId="1">Summary!$A$1:$P$38</definedName>
    <definedName name="_xlnm.Print_Area" localSheetId="10">'System Life Expectancy'!$A$1:$E$9</definedName>
    <definedName name="Unit_Cost" localSheetId="14">#REF!</definedName>
    <definedName name="Unit_Cost" localSheetId="13">#REF!</definedName>
    <definedName name="Unit_Cost" localSheetId="1">#REF!</definedName>
    <definedName name="Unit_Cost">#REF!</definedName>
    <definedName name="xyz" localSheetId="14">[1]sum!#REF!</definedName>
    <definedName name="xyz" localSheetId="13">[1]sum!#REF!</definedName>
    <definedName name="xyz" localSheetId="1">[1]sum!#REF!</definedName>
    <definedName name="xyz">[1]sum!#REF!</definedName>
    <definedName name="xyz2" localSheetId="14">[1]sum!#REF!</definedName>
    <definedName name="xyz2" localSheetId="13">[1]sum!#REF!</definedName>
    <definedName name="xyz2" localSheetId="1">[1]sum!#REF!</definedName>
    <definedName name="xyz2">[1]sum!#REF!</definedName>
    <definedName name="xyz3" localSheetId="14">[1]sum!#REF!</definedName>
    <definedName name="xyz3" localSheetId="13">[1]sum!#REF!</definedName>
    <definedName name="xyz3" localSheetId="1">[1]sum!#REF!</definedName>
    <definedName name="xyz3">[1]sum!#REF!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15" l="1"/>
  <c r="H29" i="15"/>
  <c r="C6" i="1"/>
  <c r="D6" i="1"/>
  <c r="E6" i="1"/>
  <c r="F6" i="1"/>
  <c r="H9" i="1"/>
  <c r="H12" i="1"/>
  <c r="K4" i="1"/>
  <c r="M24" i="32" l="1"/>
  <c r="N24" i="32"/>
  <c r="M40" i="32"/>
  <c r="N40" i="32"/>
  <c r="F9" i="2"/>
  <c r="F7" i="2"/>
  <c r="E9" i="2"/>
  <c r="E7" i="2"/>
  <c r="D9" i="2"/>
  <c r="D7" i="2"/>
  <c r="N14" i="1" l="1"/>
  <c r="N13" i="1"/>
  <c r="N6" i="1"/>
  <c r="N5" i="1"/>
  <c r="N4" i="1"/>
  <c r="K9" i="1"/>
  <c r="K8" i="1"/>
  <c r="K5" i="1"/>
  <c r="H8" i="1"/>
  <c r="H7" i="1"/>
  <c r="H6" i="1"/>
  <c r="H5" i="1"/>
  <c r="H4" i="1"/>
  <c r="D12" i="1"/>
  <c r="C13" i="1"/>
  <c r="D28" i="15" s="1"/>
  <c r="L28" i="15"/>
  <c r="J28" i="15"/>
  <c r="H28" i="15"/>
  <c r="F28" i="15"/>
  <c r="E28" i="15"/>
  <c r="C10" i="20" l="1"/>
  <c r="J31" i="15"/>
  <c r="H31" i="15"/>
  <c r="C3" i="10"/>
  <c r="C2" i="10"/>
  <c r="R6" i="32"/>
  <c r="R5" i="32"/>
  <c r="R4" i="32"/>
  <c r="R3" i="32"/>
  <c r="J10" i="32"/>
  <c r="J9" i="32"/>
  <c r="J8" i="32"/>
  <c r="U20" i="32" s="1"/>
  <c r="J7" i="32"/>
  <c r="U23" i="32" l="1"/>
  <c r="U22" i="32"/>
  <c r="U21" i="32"/>
  <c r="C3" i="35"/>
  <c r="AC20" i="32" l="1"/>
  <c r="AC23" i="32"/>
  <c r="AC22" i="32"/>
  <c r="AC21" i="32"/>
  <c r="C16" i="1" l="1"/>
  <c r="C17" i="1" s="1"/>
  <c r="J4" i="32"/>
  <c r="J2" i="32"/>
  <c r="J3" i="32" s="1"/>
  <c r="E11" i="20" l="1"/>
  <c r="C7" i="1" l="1"/>
  <c r="C2" i="33"/>
  <c r="D40" i="32"/>
  <c r="C40" i="32"/>
  <c r="D24" i="32"/>
  <c r="C24" i="32"/>
  <c r="L22" i="32"/>
  <c r="R22" i="32" s="1"/>
  <c r="D3" i="32"/>
  <c r="H37" i="15"/>
  <c r="D37" i="15"/>
  <c r="C10" i="19" l="1"/>
  <c r="C28" i="15"/>
  <c r="C10" i="1"/>
  <c r="H10" i="1"/>
  <c r="H13" i="1" s="1"/>
  <c r="E12" i="1"/>
  <c r="F12" i="1"/>
  <c r="C11" i="1"/>
  <c r="D41" i="32"/>
  <c r="C41" i="32"/>
  <c r="L23" i="32"/>
  <c r="R23" i="32" s="1"/>
  <c r="L20" i="32"/>
  <c r="R20" i="32" s="1"/>
  <c r="L21" i="32"/>
  <c r="R21" i="32" s="1"/>
  <c r="E11" i="19" l="1"/>
  <c r="C5" i="1"/>
  <c r="F5" i="1" s="1"/>
  <c r="C7" i="10"/>
  <c r="C8" i="10" s="1"/>
  <c r="C42" i="32"/>
  <c r="D6" i="32"/>
  <c r="C4" i="10"/>
  <c r="K10" i="1"/>
  <c r="D5" i="1" l="1"/>
  <c r="D7" i="32"/>
  <c r="I36" i="32" s="1"/>
  <c r="L36" i="32" s="1"/>
  <c r="C9" i="10"/>
  <c r="C10" i="10" s="1"/>
  <c r="R8" i="32" s="1"/>
  <c r="F39" i="32"/>
  <c r="D9" i="32"/>
  <c r="O13" i="33"/>
  <c r="O18" i="33" s="1"/>
  <c r="F31" i="32"/>
  <c r="K31" i="32" s="1"/>
  <c r="F30" i="32"/>
  <c r="K30" i="32" s="1"/>
  <c r="F37" i="32"/>
  <c r="K37" i="32" s="1"/>
  <c r="F32" i="32"/>
  <c r="K32" i="32" s="1"/>
  <c r="F35" i="32"/>
  <c r="K35" i="32" s="1"/>
  <c r="F38" i="32"/>
  <c r="K38" i="32" s="1"/>
  <c r="F29" i="32"/>
  <c r="K29" i="32" s="1"/>
  <c r="F36" i="32"/>
  <c r="K36" i="32" s="1"/>
  <c r="F33" i="32"/>
  <c r="K33" i="32" s="1"/>
  <c r="F34" i="32"/>
  <c r="K34" i="32" s="1"/>
  <c r="F28" i="32"/>
  <c r="K28" i="32" s="1"/>
  <c r="C2" i="35"/>
  <c r="I28" i="32" l="1"/>
  <c r="J28" i="32" s="1"/>
  <c r="I31" i="32"/>
  <c r="L31" i="32" s="1"/>
  <c r="R31" i="32" s="1"/>
  <c r="I33" i="32"/>
  <c r="L33" i="32" s="1"/>
  <c r="I37" i="32"/>
  <c r="L37" i="32" s="1"/>
  <c r="R37" i="32" s="1"/>
  <c r="I32" i="32"/>
  <c r="L32" i="32" s="1"/>
  <c r="R32" i="32" s="1"/>
  <c r="I35" i="32"/>
  <c r="L35" i="32" s="1"/>
  <c r="R35" i="32" s="1"/>
  <c r="I34" i="32"/>
  <c r="L34" i="32" s="1"/>
  <c r="R34" i="32" s="1"/>
  <c r="I38" i="32"/>
  <c r="L38" i="32" s="1"/>
  <c r="R38" i="32" s="1"/>
  <c r="I30" i="32"/>
  <c r="L30" i="32" s="1"/>
  <c r="R30" i="32" s="1"/>
  <c r="I29" i="32"/>
  <c r="L29" i="32" s="1"/>
  <c r="R29" i="32" s="1"/>
  <c r="I39" i="32"/>
  <c r="L39" i="32" s="1"/>
  <c r="R39" i="32" s="1"/>
  <c r="K39" i="32"/>
  <c r="Q39" i="32" s="1"/>
  <c r="G39" i="32"/>
  <c r="D13" i="33"/>
  <c r="I13" i="33"/>
  <c r="K13" i="33"/>
  <c r="N13" i="33"/>
  <c r="F13" i="33"/>
  <c r="C13" i="33"/>
  <c r="L13" i="33"/>
  <c r="J13" i="33"/>
  <c r="G13" i="33"/>
  <c r="M13" i="33"/>
  <c r="H13" i="33"/>
  <c r="E13" i="33"/>
  <c r="R36" i="32"/>
  <c r="Q32" i="32"/>
  <c r="Q37" i="32"/>
  <c r="Q34" i="32"/>
  <c r="Q30" i="32"/>
  <c r="Q31" i="32"/>
  <c r="Q36" i="32"/>
  <c r="Q29" i="32"/>
  <c r="Q35" i="32"/>
  <c r="Q28" i="32"/>
  <c r="Q33" i="32"/>
  <c r="R33" i="32"/>
  <c r="Q38" i="32"/>
  <c r="G35" i="32"/>
  <c r="P39" i="32"/>
  <c r="J36" i="32"/>
  <c r="G32" i="32"/>
  <c r="G28" i="32"/>
  <c r="K40" i="32"/>
  <c r="G34" i="32"/>
  <c r="G30" i="32"/>
  <c r="G37" i="32"/>
  <c r="G33" i="32"/>
  <c r="G31" i="32"/>
  <c r="G36" i="32"/>
  <c r="G29" i="32"/>
  <c r="W36" i="32"/>
  <c r="W33" i="32"/>
  <c r="W39" i="32"/>
  <c r="AE34" i="32"/>
  <c r="AE39" i="32"/>
  <c r="AE31" i="32"/>
  <c r="W34" i="32"/>
  <c r="AE32" i="32"/>
  <c r="W31" i="32"/>
  <c r="AE37" i="32"/>
  <c r="W32" i="32"/>
  <c r="AE29" i="32"/>
  <c r="W37" i="32"/>
  <c r="AE30" i="32"/>
  <c r="W29" i="32"/>
  <c r="W28" i="32"/>
  <c r="AE38" i="32"/>
  <c r="AE35" i="32"/>
  <c r="W30" i="32"/>
  <c r="AE36" i="32"/>
  <c r="W38" i="32"/>
  <c r="W35" i="32"/>
  <c r="AE28" i="32"/>
  <c r="AE33" i="32"/>
  <c r="G38" i="32"/>
  <c r="J29" i="32" l="1"/>
  <c r="AC29" i="32" s="1"/>
  <c r="J31" i="32"/>
  <c r="AC31" i="32" s="1"/>
  <c r="AH31" i="32" s="1"/>
  <c r="J38" i="32"/>
  <c r="AC38" i="32" s="1"/>
  <c r="AH38" i="32" s="1"/>
  <c r="J33" i="32"/>
  <c r="J39" i="32"/>
  <c r="U39" i="32" s="1"/>
  <c r="AC28" i="32"/>
  <c r="U28" i="32"/>
  <c r="Z28" i="32" s="1"/>
  <c r="J30" i="32"/>
  <c r="AC30" i="32" s="1"/>
  <c r="AH30" i="32" s="1"/>
  <c r="J32" i="32"/>
  <c r="AC32" i="32" s="1"/>
  <c r="AH32" i="32" s="1"/>
  <c r="L28" i="32"/>
  <c r="L40" i="32" s="1"/>
  <c r="J37" i="32"/>
  <c r="U37" i="32" s="1"/>
  <c r="Z37" i="32" s="1"/>
  <c r="J34" i="32"/>
  <c r="AC34" i="32" s="1"/>
  <c r="AH34" i="32" s="1"/>
  <c r="J35" i="32"/>
  <c r="U35" i="32" s="1"/>
  <c r="Z35" i="32" s="1"/>
  <c r="AB39" i="32"/>
  <c r="T39" i="32"/>
  <c r="P13" i="33"/>
  <c r="K8" i="35" s="1"/>
  <c r="L8" i="35" s="1"/>
  <c r="AC33" i="32"/>
  <c r="AH33" i="32" s="1"/>
  <c r="AB28" i="32"/>
  <c r="T28" i="32"/>
  <c r="AC36" i="32"/>
  <c r="AH36" i="32" s="1"/>
  <c r="AC39" i="32"/>
  <c r="P36" i="32"/>
  <c r="P37" i="32"/>
  <c r="P33" i="32"/>
  <c r="P31" i="32"/>
  <c r="P38" i="32"/>
  <c r="P34" i="32"/>
  <c r="P32" i="32"/>
  <c r="P29" i="32"/>
  <c r="AB36" i="32"/>
  <c r="T36" i="32"/>
  <c r="U36" i="32"/>
  <c r="Z36" i="32" s="1"/>
  <c r="P35" i="32"/>
  <c r="AE40" i="32"/>
  <c r="AH28" i="32"/>
  <c r="AB37" i="32"/>
  <c r="T37" i="32"/>
  <c r="T38" i="32"/>
  <c r="AB38" i="32"/>
  <c r="AB29" i="32"/>
  <c r="T29" i="32"/>
  <c r="AB31" i="32"/>
  <c r="T31" i="32"/>
  <c r="P30" i="32"/>
  <c r="T33" i="32"/>
  <c r="AB33" i="32"/>
  <c r="AB32" i="32"/>
  <c r="T32" i="32"/>
  <c r="W40" i="32"/>
  <c r="AB30" i="32"/>
  <c r="T30" i="32"/>
  <c r="AB34" i="32"/>
  <c r="T34" i="32"/>
  <c r="P28" i="32"/>
  <c r="AB35" i="32"/>
  <c r="T35" i="32"/>
  <c r="U33" i="32"/>
  <c r="Z33" i="32" s="1"/>
  <c r="U30" i="32" l="1"/>
  <c r="Z30" i="32" s="1"/>
  <c r="U31" i="32"/>
  <c r="Z31" i="32" s="1"/>
  <c r="U29" i="32"/>
  <c r="Z29" i="32" s="1"/>
  <c r="U38" i="32"/>
  <c r="Z38" i="32" s="1"/>
  <c r="AC35" i="32"/>
  <c r="AH35" i="32" s="1"/>
  <c r="AC37" i="32"/>
  <c r="AH37" i="32" s="1"/>
  <c r="U32" i="32"/>
  <c r="Z32" i="32" s="1"/>
  <c r="U34" i="32"/>
  <c r="Z34" i="32" s="1"/>
  <c r="R28" i="32"/>
  <c r="R40" i="32" s="1"/>
  <c r="B57" i="32" s="1"/>
  <c r="P40" i="32"/>
  <c r="AH29" i="32"/>
  <c r="O31" i="32"/>
  <c r="S31" i="32" s="1"/>
  <c r="O32" i="32"/>
  <c r="S32" i="32" s="1"/>
  <c r="O29" i="32"/>
  <c r="S29" i="32" s="1"/>
  <c r="O39" i="32"/>
  <c r="S39" i="32" s="1"/>
  <c r="O38" i="32"/>
  <c r="S38" i="32" s="1"/>
  <c r="AB40" i="32"/>
  <c r="C56" i="32"/>
  <c r="O28" i="32"/>
  <c r="AH39" i="32"/>
  <c r="O37" i="32"/>
  <c r="S37" i="32" s="1"/>
  <c r="O33" i="32"/>
  <c r="S33" i="32" s="1"/>
  <c r="O35" i="32"/>
  <c r="S35" i="32" s="1"/>
  <c r="O30" i="32"/>
  <c r="S30" i="32" s="1"/>
  <c r="C57" i="32"/>
  <c r="Z39" i="32"/>
  <c r="O36" i="32"/>
  <c r="S36" i="32" s="1"/>
  <c r="O34" i="32"/>
  <c r="S34" i="32" s="1"/>
  <c r="T40" i="32"/>
  <c r="AC40" i="32" l="1"/>
  <c r="G57" i="32" s="1"/>
  <c r="U40" i="32"/>
  <c r="E57" i="32" s="1"/>
  <c r="AH40" i="32"/>
  <c r="F57" i="32" s="1"/>
  <c r="O40" i="32"/>
  <c r="S28" i="32"/>
  <c r="S40" i="32" s="1"/>
  <c r="Z40" i="32"/>
  <c r="D57" i="32" s="1"/>
  <c r="Q40" i="32"/>
  <c r="B56" i="32" s="1"/>
  <c r="H8" i="35" l="1"/>
  <c r="J8" i="35" s="1"/>
  <c r="I8" i="35" l="1"/>
  <c r="K11" i="1" l="1"/>
  <c r="N7" i="1" l="1"/>
  <c r="N9" i="1" s="1"/>
  <c r="N15" i="1" s="1"/>
  <c r="N10" i="1"/>
  <c r="N16" i="1" s="1"/>
  <c r="E30" i="15" l="1"/>
  <c r="E31" i="31" l="1"/>
  <c r="F31" i="31" s="1"/>
  <c r="G31" i="31" s="1"/>
  <c r="H31" i="31" s="1"/>
  <c r="I31" i="31" s="1"/>
  <c r="J31" i="31" s="1"/>
  <c r="K31" i="31" s="1"/>
  <c r="L31" i="31" s="1"/>
  <c r="M31" i="31" s="1"/>
  <c r="N31" i="31" s="1"/>
  <c r="O31" i="31" s="1"/>
  <c r="P31" i="31" s="1"/>
  <c r="Q31" i="31" s="1"/>
  <c r="R31" i="31" s="1"/>
  <c r="S31" i="31" s="1"/>
  <c r="T31" i="31" s="1"/>
  <c r="U31" i="31" s="1"/>
  <c r="V31" i="31" s="1"/>
  <c r="W31" i="31" s="1"/>
  <c r="X31" i="31" s="1"/>
  <c r="E26" i="31"/>
  <c r="F26" i="31" s="1"/>
  <c r="G26" i="31" s="1"/>
  <c r="H26" i="31" s="1"/>
  <c r="I26" i="31" s="1"/>
  <c r="J26" i="31" s="1"/>
  <c r="K26" i="31" s="1"/>
  <c r="L26" i="31" s="1"/>
  <c r="M26" i="31" s="1"/>
  <c r="N26" i="31" s="1"/>
  <c r="O26" i="31" s="1"/>
  <c r="P26" i="31" s="1"/>
  <c r="Q26" i="31" s="1"/>
  <c r="R26" i="31" s="1"/>
  <c r="S26" i="31" s="1"/>
  <c r="T26" i="31" s="1"/>
  <c r="U26" i="31" s="1"/>
  <c r="V26" i="31" s="1"/>
  <c r="W26" i="31" s="1"/>
  <c r="X26" i="31" s="1"/>
  <c r="E21" i="31"/>
  <c r="F21" i="31" s="1"/>
  <c r="G21" i="31" s="1"/>
  <c r="H21" i="31" s="1"/>
  <c r="I21" i="31" s="1"/>
  <c r="J21" i="31" s="1"/>
  <c r="K21" i="31" s="1"/>
  <c r="L21" i="31" s="1"/>
  <c r="M21" i="31" s="1"/>
  <c r="N21" i="31" s="1"/>
  <c r="O21" i="31" s="1"/>
  <c r="P21" i="31" s="1"/>
  <c r="Q21" i="31" s="1"/>
  <c r="R21" i="31" s="1"/>
  <c r="S21" i="31" s="1"/>
  <c r="T21" i="31" s="1"/>
  <c r="U21" i="31" s="1"/>
  <c r="V21" i="31" s="1"/>
  <c r="W21" i="31" s="1"/>
  <c r="X21" i="31" s="1"/>
  <c r="E16" i="31"/>
  <c r="F16" i="31" s="1"/>
  <c r="G16" i="31" s="1"/>
  <c r="H16" i="31" s="1"/>
  <c r="I16" i="31" s="1"/>
  <c r="J16" i="31" s="1"/>
  <c r="K16" i="31" s="1"/>
  <c r="L16" i="31" s="1"/>
  <c r="M16" i="31" s="1"/>
  <c r="N16" i="31" s="1"/>
  <c r="O16" i="31" s="1"/>
  <c r="P16" i="31" s="1"/>
  <c r="Q16" i="31" s="1"/>
  <c r="R16" i="31" s="1"/>
  <c r="S16" i="31" s="1"/>
  <c r="T16" i="31" s="1"/>
  <c r="U16" i="31" s="1"/>
  <c r="V16" i="31" s="1"/>
  <c r="W16" i="31" s="1"/>
  <c r="X16" i="31" s="1"/>
  <c r="E11" i="31"/>
  <c r="F11" i="31" s="1"/>
  <c r="G11" i="31" s="1"/>
  <c r="H11" i="31" s="1"/>
  <c r="I11" i="31" s="1"/>
  <c r="J11" i="31" s="1"/>
  <c r="K11" i="31" s="1"/>
  <c r="L11" i="31" s="1"/>
  <c r="M11" i="31" s="1"/>
  <c r="N11" i="31" s="1"/>
  <c r="O11" i="31" s="1"/>
  <c r="P11" i="31" s="1"/>
  <c r="Q11" i="31" s="1"/>
  <c r="R11" i="31" s="1"/>
  <c r="S11" i="31" s="1"/>
  <c r="T11" i="31" s="1"/>
  <c r="U11" i="31" s="1"/>
  <c r="V11" i="31" s="1"/>
  <c r="W11" i="31" s="1"/>
  <c r="X11" i="31" s="1"/>
  <c r="J47" i="30"/>
  <c r="J46" i="30"/>
  <c r="J45" i="30"/>
  <c r="J44" i="30"/>
  <c r="J43" i="30"/>
  <c r="E31" i="30"/>
  <c r="E26" i="30"/>
  <c r="F26" i="30" s="1"/>
  <c r="G26" i="30" s="1"/>
  <c r="H26" i="30" s="1"/>
  <c r="I26" i="30" s="1"/>
  <c r="J26" i="30" s="1"/>
  <c r="K26" i="30" s="1"/>
  <c r="L26" i="30" s="1"/>
  <c r="M26" i="30" s="1"/>
  <c r="N26" i="30" s="1"/>
  <c r="O26" i="30" s="1"/>
  <c r="P26" i="30" s="1"/>
  <c r="Q26" i="30" s="1"/>
  <c r="R26" i="30" s="1"/>
  <c r="S26" i="30" s="1"/>
  <c r="T26" i="30" s="1"/>
  <c r="U26" i="30" s="1"/>
  <c r="V26" i="30" s="1"/>
  <c r="W26" i="30" s="1"/>
  <c r="X26" i="30" s="1"/>
  <c r="E21" i="30"/>
  <c r="F21" i="30" s="1"/>
  <c r="G21" i="30" s="1"/>
  <c r="H21" i="30" s="1"/>
  <c r="I21" i="30" s="1"/>
  <c r="J21" i="30" s="1"/>
  <c r="K21" i="30" s="1"/>
  <c r="L21" i="30" s="1"/>
  <c r="M21" i="30" s="1"/>
  <c r="N21" i="30" s="1"/>
  <c r="O21" i="30" s="1"/>
  <c r="P21" i="30" s="1"/>
  <c r="Q21" i="30" s="1"/>
  <c r="R21" i="30" s="1"/>
  <c r="S21" i="30" s="1"/>
  <c r="T21" i="30" s="1"/>
  <c r="U21" i="30" s="1"/>
  <c r="V21" i="30" s="1"/>
  <c r="W21" i="30" s="1"/>
  <c r="X21" i="30" s="1"/>
  <c r="C15" i="30"/>
  <c r="E17" i="30" s="1"/>
  <c r="E27" i="30"/>
  <c r="F27" i="30" s="1"/>
  <c r="G27" i="30" s="1"/>
  <c r="H27" i="30" s="1"/>
  <c r="I27" i="30" s="1"/>
  <c r="J27" i="30" s="1"/>
  <c r="K27" i="30" s="1"/>
  <c r="L27" i="30" s="1"/>
  <c r="M27" i="30" s="1"/>
  <c r="N27" i="30" s="1"/>
  <c r="O27" i="30" s="1"/>
  <c r="P27" i="30" s="1"/>
  <c r="Q27" i="30" s="1"/>
  <c r="R27" i="30" s="1"/>
  <c r="S27" i="30" s="1"/>
  <c r="T27" i="30" s="1"/>
  <c r="U27" i="30" s="1"/>
  <c r="V27" i="30" s="1"/>
  <c r="W27" i="30" s="1"/>
  <c r="X27" i="30" s="1"/>
  <c r="E22" i="31"/>
  <c r="F22" i="31" s="1"/>
  <c r="G22" i="31" s="1"/>
  <c r="H22" i="31" s="1"/>
  <c r="I22" i="31" s="1"/>
  <c r="J22" i="31" s="1"/>
  <c r="K22" i="31" s="1"/>
  <c r="L22" i="31" s="1"/>
  <c r="M22" i="31" s="1"/>
  <c r="N22" i="31" s="1"/>
  <c r="O22" i="31" s="1"/>
  <c r="P22" i="31" s="1"/>
  <c r="Q22" i="31" s="1"/>
  <c r="R22" i="31" s="1"/>
  <c r="S22" i="31" s="1"/>
  <c r="T22" i="31" s="1"/>
  <c r="U22" i="31" s="1"/>
  <c r="V22" i="31" s="1"/>
  <c r="W22" i="31" s="1"/>
  <c r="X22" i="31" s="1"/>
  <c r="E32" i="31" l="1"/>
  <c r="F32" i="31" s="1"/>
  <c r="G32" i="31" s="1"/>
  <c r="H32" i="31" s="1"/>
  <c r="I32" i="31" s="1"/>
  <c r="J32" i="31" s="1"/>
  <c r="K32" i="31" s="1"/>
  <c r="L32" i="31" s="1"/>
  <c r="M32" i="31" s="1"/>
  <c r="N32" i="31" s="1"/>
  <c r="O32" i="31" s="1"/>
  <c r="P32" i="31" s="1"/>
  <c r="Q32" i="31" s="1"/>
  <c r="R32" i="31" s="1"/>
  <c r="S32" i="31" s="1"/>
  <c r="T32" i="31" s="1"/>
  <c r="U32" i="31" s="1"/>
  <c r="V32" i="31" s="1"/>
  <c r="W32" i="31" s="1"/>
  <c r="X32" i="31" s="1"/>
  <c r="E32" i="30"/>
  <c r="F32" i="30" s="1"/>
  <c r="G32" i="30" s="1"/>
  <c r="H32" i="30" s="1"/>
  <c r="I32" i="30" s="1"/>
  <c r="J32" i="30" s="1"/>
  <c r="K32" i="30" s="1"/>
  <c r="L32" i="30" s="1"/>
  <c r="M32" i="30" s="1"/>
  <c r="N32" i="30" s="1"/>
  <c r="O32" i="30" s="1"/>
  <c r="P32" i="30" s="1"/>
  <c r="Q32" i="30" s="1"/>
  <c r="R32" i="30" s="1"/>
  <c r="S32" i="30" s="1"/>
  <c r="T32" i="30" s="1"/>
  <c r="U32" i="30" s="1"/>
  <c r="V32" i="30" s="1"/>
  <c r="W32" i="30" s="1"/>
  <c r="X32" i="30" s="1"/>
  <c r="E22" i="30"/>
  <c r="F22" i="30" s="1"/>
  <c r="G22" i="30" s="1"/>
  <c r="H22" i="30" s="1"/>
  <c r="I22" i="30" s="1"/>
  <c r="J22" i="30" s="1"/>
  <c r="K22" i="30" s="1"/>
  <c r="L22" i="30" s="1"/>
  <c r="M22" i="30" s="1"/>
  <c r="N22" i="30" s="1"/>
  <c r="O22" i="30" s="1"/>
  <c r="P22" i="30" s="1"/>
  <c r="Q22" i="30" s="1"/>
  <c r="R22" i="30" s="1"/>
  <c r="S22" i="30" s="1"/>
  <c r="T22" i="30" s="1"/>
  <c r="U22" i="30" s="1"/>
  <c r="V22" i="30" s="1"/>
  <c r="W22" i="30" s="1"/>
  <c r="X22" i="30" s="1"/>
  <c r="E27" i="31"/>
  <c r="F27" i="31" s="1"/>
  <c r="G27" i="31" s="1"/>
  <c r="H27" i="31" s="1"/>
  <c r="I27" i="31" s="1"/>
  <c r="J27" i="31" s="1"/>
  <c r="K27" i="31" s="1"/>
  <c r="L27" i="31" s="1"/>
  <c r="M27" i="31" s="1"/>
  <c r="N27" i="31" s="1"/>
  <c r="O27" i="31" s="1"/>
  <c r="P27" i="31" s="1"/>
  <c r="Q27" i="31" s="1"/>
  <c r="R27" i="31" s="1"/>
  <c r="S27" i="31" s="1"/>
  <c r="T27" i="31" s="1"/>
  <c r="U27" i="31" s="1"/>
  <c r="V27" i="31" s="1"/>
  <c r="W27" i="31" s="1"/>
  <c r="X27" i="31" s="1"/>
  <c r="C19" i="30"/>
  <c r="Y16" i="31"/>
  <c r="Y11" i="31"/>
  <c r="Y26" i="31"/>
  <c r="Y22" i="31"/>
  <c r="Y31" i="31"/>
  <c r="Y21" i="31"/>
  <c r="F17" i="30"/>
  <c r="G17" i="30" s="1"/>
  <c r="H17" i="30" s="1"/>
  <c r="I17" i="30" s="1"/>
  <c r="J17" i="30" s="1"/>
  <c r="K17" i="30" s="1"/>
  <c r="L17" i="30" s="1"/>
  <c r="M17" i="30" s="1"/>
  <c r="N17" i="30" s="1"/>
  <c r="O17" i="30" s="1"/>
  <c r="P17" i="30" s="1"/>
  <c r="Q17" i="30" s="1"/>
  <c r="R17" i="30" s="1"/>
  <c r="S17" i="30" s="1"/>
  <c r="T17" i="30" s="1"/>
  <c r="U17" i="30" s="1"/>
  <c r="V17" i="30" s="1"/>
  <c r="W17" i="30" s="1"/>
  <c r="X17" i="30" s="1"/>
  <c r="E16" i="30"/>
  <c r="F16" i="30" s="1"/>
  <c r="G16" i="30" s="1"/>
  <c r="H16" i="30" s="1"/>
  <c r="I16" i="30" s="1"/>
  <c r="J16" i="30" s="1"/>
  <c r="K16" i="30" s="1"/>
  <c r="L16" i="30" s="1"/>
  <c r="M16" i="30" s="1"/>
  <c r="N16" i="30" s="1"/>
  <c r="O16" i="30" s="1"/>
  <c r="P16" i="30" s="1"/>
  <c r="Q16" i="30" s="1"/>
  <c r="R16" i="30" s="1"/>
  <c r="S16" i="30" s="1"/>
  <c r="T16" i="30" s="1"/>
  <c r="U16" i="30" s="1"/>
  <c r="V16" i="30" s="1"/>
  <c r="W16" i="30" s="1"/>
  <c r="X16" i="30" s="1"/>
  <c r="F31" i="30"/>
  <c r="G31" i="30" s="1"/>
  <c r="H31" i="30" s="1"/>
  <c r="I31" i="30" s="1"/>
  <c r="J31" i="30" s="1"/>
  <c r="K31" i="30" s="1"/>
  <c r="L31" i="30" s="1"/>
  <c r="M31" i="30" s="1"/>
  <c r="N31" i="30" s="1"/>
  <c r="O31" i="30" s="1"/>
  <c r="P31" i="30" s="1"/>
  <c r="Q31" i="30" s="1"/>
  <c r="R31" i="30" s="1"/>
  <c r="S31" i="30" s="1"/>
  <c r="T31" i="30" s="1"/>
  <c r="U31" i="30" s="1"/>
  <c r="V31" i="30" s="1"/>
  <c r="W31" i="30" s="1"/>
  <c r="X31" i="30" s="1"/>
  <c r="E15" i="30"/>
  <c r="Y27" i="30"/>
  <c r="Y21" i="30"/>
  <c r="Y26" i="30"/>
  <c r="Y32" i="31" l="1"/>
  <c r="Y22" i="30"/>
  <c r="Y32" i="30"/>
  <c r="Y27" i="31"/>
  <c r="E18" i="30"/>
  <c r="Y16" i="30"/>
  <c r="E19" i="30"/>
  <c r="F15" i="30"/>
  <c r="Y17" i="30"/>
  <c r="Y31" i="30"/>
  <c r="G7" i="29"/>
  <c r="G6" i="29"/>
  <c r="E5" i="29"/>
  <c r="G5" i="29" s="1"/>
  <c r="E4" i="29"/>
  <c r="G4" i="29" s="1"/>
  <c r="G15" i="30" l="1"/>
  <c r="F18" i="30"/>
  <c r="F19" i="30" l="1"/>
  <c r="H15" i="30"/>
  <c r="G18" i="30"/>
  <c r="G19" i="30" s="1"/>
  <c r="H18" i="30" l="1"/>
  <c r="H19" i="30" s="1"/>
  <c r="I15" i="30"/>
  <c r="J15" i="30" l="1"/>
  <c r="I18" i="30"/>
  <c r="I19" i="30" l="1"/>
  <c r="K15" i="30"/>
  <c r="J18" i="30"/>
  <c r="J19" i="30" s="1"/>
  <c r="J41" i="19"/>
  <c r="J40" i="19"/>
  <c r="J39" i="19"/>
  <c r="J38" i="19"/>
  <c r="K18" i="30" l="1"/>
  <c r="K19" i="30" s="1"/>
  <c r="L15" i="30"/>
  <c r="C3" i="28"/>
  <c r="M15" i="30" l="1"/>
  <c r="L18" i="30"/>
  <c r="L19" i="30" s="1"/>
  <c r="L31" i="15"/>
  <c r="L30" i="15"/>
  <c r="J30" i="15"/>
  <c r="N15" i="30" l="1"/>
  <c r="M18" i="30"/>
  <c r="M19" i="30" s="1"/>
  <c r="L29" i="15"/>
  <c r="J29" i="15"/>
  <c r="N18" i="30" l="1"/>
  <c r="N19" i="30" s="1"/>
  <c r="O15" i="30"/>
  <c r="C15" i="31" l="1"/>
  <c r="C19" i="31" s="1"/>
  <c r="O18" i="30"/>
  <c r="O19" i="30" s="1"/>
  <c r="P15" i="30"/>
  <c r="Q15" i="30" l="1"/>
  <c r="P18" i="30"/>
  <c r="P19" i="30" s="1"/>
  <c r="R15" i="30" l="1"/>
  <c r="Q18" i="30"/>
  <c r="Q19" i="30" s="1"/>
  <c r="F31" i="15"/>
  <c r="E31" i="15"/>
  <c r="F30" i="15"/>
  <c r="F29" i="15"/>
  <c r="E29" i="15"/>
  <c r="S15" i="30" l="1"/>
  <c r="R18" i="30"/>
  <c r="R19" i="30" s="1"/>
  <c r="S18" i="30" l="1"/>
  <c r="S19" i="30" s="1"/>
  <c r="T15" i="30"/>
  <c r="F11" i="20" l="1"/>
  <c r="G11" i="20" s="1"/>
  <c r="H11" i="20" s="1"/>
  <c r="I11" i="20" s="1"/>
  <c r="J11" i="20" s="1"/>
  <c r="K11" i="20" s="1"/>
  <c r="L11" i="20" s="1"/>
  <c r="M11" i="20" s="1"/>
  <c r="N11" i="20" s="1"/>
  <c r="O11" i="20" s="1"/>
  <c r="P11" i="20" s="1"/>
  <c r="Q11" i="20" s="1"/>
  <c r="R11" i="20" s="1"/>
  <c r="S11" i="20" s="1"/>
  <c r="T11" i="20" s="1"/>
  <c r="U11" i="20" s="1"/>
  <c r="V11" i="20" s="1"/>
  <c r="W11" i="20" s="1"/>
  <c r="X11" i="20" s="1"/>
  <c r="C10" i="31"/>
  <c r="C14" i="31" s="1"/>
  <c r="U15" i="30"/>
  <c r="T18" i="30"/>
  <c r="T19" i="30" s="1"/>
  <c r="C5" i="10"/>
  <c r="C6" i="10" s="1"/>
  <c r="D4" i="32" l="1"/>
  <c r="F21" i="32" s="1"/>
  <c r="C4" i="1"/>
  <c r="R7" i="32"/>
  <c r="O14" i="33" s="1"/>
  <c r="O19" i="33" s="1"/>
  <c r="Y11" i="20"/>
  <c r="U18" i="30"/>
  <c r="U19" i="30" s="1"/>
  <c r="V15" i="30"/>
  <c r="F23" i="32" l="1"/>
  <c r="AB23" i="32" s="1"/>
  <c r="F19" i="32"/>
  <c r="K19" i="32" s="1"/>
  <c r="Q19" i="32" s="1"/>
  <c r="F16" i="32"/>
  <c r="AB16" i="32" s="1"/>
  <c r="F18" i="32"/>
  <c r="K18" i="32" s="1"/>
  <c r="Q18" i="32" s="1"/>
  <c r="O7" i="33"/>
  <c r="M7" i="33" s="1"/>
  <c r="M18" i="33" s="1"/>
  <c r="F20" i="32"/>
  <c r="T20" i="32" s="1"/>
  <c r="F22" i="32"/>
  <c r="T22" i="32" s="1"/>
  <c r="D5" i="32"/>
  <c r="I19" i="32" s="1"/>
  <c r="U19" i="32" s="1"/>
  <c r="F17" i="32"/>
  <c r="T17" i="32" s="1"/>
  <c r="O8" i="33"/>
  <c r="O9" i="33"/>
  <c r="O10" i="33" s="1"/>
  <c r="AB18" i="32"/>
  <c r="T18" i="32"/>
  <c r="V28" i="32"/>
  <c r="O15" i="33"/>
  <c r="O16" i="33" s="1"/>
  <c r="T23" i="32"/>
  <c r="T21" i="32"/>
  <c r="AB21" i="32"/>
  <c r="F4" i="1"/>
  <c r="D4" i="1"/>
  <c r="C5" i="2"/>
  <c r="AE17" i="32"/>
  <c r="AD16" i="32"/>
  <c r="K21" i="32"/>
  <c r="Q21" i="32" s="1"/>
  <c r="AD29" i="32"/>
  <c r="V38" i="32"/>
  <c r="V32" i="32"/>
  <c r="AE23" i="32"/>
  <c r="AH23" i="32" s="1"/>
  <c r="AD19" i="32"/>
  <c r="AD36" i="32"/>
  <c r="AD30" i="32"/>
  <c r="W23" i="32"/>
  <c r="Z23" i="32" s="1"/>
  <c r="W17" i="32"/>
  <c r="V19" i="32"/>
  <c r="V16" i="32"/>
  <c r="AD32" i="32"/>
  <c r="V36" i="32"/>
  <c r="V30" i="32"/>
  <c r="AD22" i="32"/>
  <c r="V37" i="32"/>
  <c r="AD18" i="32"/>
  <c r="AD21" i="32"/>
  <c r="V18" i="32"/>
  <c r="W18" i="32"/>
  <c r="V17" i="32"/>
  <c r="AE22" i="32"/>
  <c r="AH22" i="32" s="1"/>
  <c r="AD34" i="32"/>
  <c r="AD28" i="32"/>
  <c r="V22" i="32"/>
  <c r="V29" i="32"/>
  <c r="AD31" i="32"/>
  <c r="V21" i="32"/>
  <c r="AD33" i="32"/>
  <c r="W20" i="32"/>
  <c r="Z20" i="32" s="1"/>
  <c r="AE16" i="32"/>
  <c r="W22" i="32"/>
  <c r="Z22" i="32" s="1"/>
  <c r="AD17" i="32"/>
  <c r="V34" i="32"/>
  <c r="AE19" i="32"/>
  <c r="AD23" i="32"/>
  <c r="AE21" i="32"/>
  <c r="AH21" i="32" s="1"/>
  <c r="AD39" i="32"/>
  <c r="V35" i="32"/>
  <c r="AD35" i="32"/>
  <c r="W19" i="32"/>
  <c r="V23" i="32"/>
  <c r="W21" i="32"/>
  <c r="Z21" i="32" s="1"/>
  <c r="AD38" i="32"/>
  <c r="V31" i="32"/>
  <c r="V39" i="32"/>
  <c r="AD37" i="32"/>
  <c r="V33" i="32"/>
  <c r="AE18" i="32"/>
  <c r="AE20" i="32"/>
  <c r="AH20" i="32" s="1"/>
  <c r="AD20" i="32"/>
  <c r="W16" i="32"/>
  <c r="V20" i="32"/>
  <c r="W15" i="30"/>
  <c r="V18" i="30"/>
  <c r="V19" i="30" s="1"/>
  <c r="T19" i="32" l="1"/>
  <c r="AB17" i="32"/>
  <c r="AG17" i="32" s="1"/>
  <c r="AB19" i="32"/>
  <c r="K17" i="32"/>
  <c r="Q17" i="32" s="1"/>
  <c r="K23" i="32"/>
  <c r="Q23" i="32" s="1"/>
  <c r="I18" i="32"/>
  <c r="U18" i="32" s="1"/>
  <c r="I16" i="32"/>
  <c r="U16" i="32" s="1"/>
  <c r="I17" i="32"/>
  <c r="U17" i="32" s="1"/>
  <c r="Z17" i="32" s="1"/>
  <c r="D15" i="1"/>
  <c r="D14" i="1"/>
  <c r="AB20" i="32"/>
  <c r="AG20" i="32" s="1"/>
  <c r="K22" i="32"/>
  <c r="Q22" i="32" s="1"/>
  <c r="K20" i="32"/>
  <c r="Q20" i="32" s="1"/>
  <c r="K16" i="32"/>
  <c r="Q16" i="32" s="1"/>
  <c r="AB22" i="32"/>
  <c r="AG22" i="32" s="1"/>
  <c r="T16" i="32"/>
  <c r="T24" i="32" s="1"/>
  <c r="H16" i="33"/>
  <c r="J16" i="33"/>
  <c r="O21" i="33"/>
  <c r="K16" i="33"/>
  <c r="D16" i="33"/>
  <c r="E16" i="33"/>
  <c r="M16" i="33"/>
  <c r="F16" i="33"/>
  <c r="N16" i="33"/>
  <c r="G16" i="33"/>
  <c r="I16" i="33"/>
  <c r="C16" i="33"/>
  <c r="L16" i="33"/>
  <c r="F10" i="33"/>
  <c r="I10" i="33"/>
  <c r="E10" i="33"/>
  <c r="K10" i="33"/>
  <c r="N10" i="33"/>
  <c r="D10" i="33"/>
  <c r="J10" i="33"/>
  <c r="M10" i="33"/>
  <c r="C10" i="33"/>
  <c r="G10" i="33"/>
  <c r="L10" i="33"/>
  <c r="H10" i="33"/>
  <c r="H21" i="33" s="1"/>
  <c r="D5" i="2"/>
  <c r="F5" i="2"/>
  <c r="AC18" i="32"/>
  <c r="AC19" i="32"/>
  <c r="AH19" i="32" s="1"/>
  <c r="D7" i="33"/>
  <c r="D18" i="33" s="1"/>
  <c r="C7" i="33"/>
  <c r="I7" i="33"/>
  <c r="I18" i="33" s="1"/>
  <c r="N7" i="33"/>
  <c r="N18" i="33" s="1"/>
  <c r="G7" i="33"/>
  <c r="G18" i="33" s="1"/>
  <c r="E7" i="33"/>
  <c r="E18" i="33" s="1"/>
  <c r="L7" i="33"/>
  <c r="L18" i="33" s="1"/>
  <c r="H7" i="33"/>
  <c r="H18" i="33" s="1"/>
  <c r="K7" i="33"/>
  <c r="K18" i="33" s="1"/>
  <c r="F7" i="33"/>
  <c r="F18" i="33" s="1"/>
  <c r="J7" i="33"/>
  <c r="J18" i="33" s="1"/>
  <c r="Y18" i="32"/>
  <c r="V24" i="32"/>
  <c r="X34" i="32"/>
  <c r="AA34" i="32" s="1"/>
  <c r="Y34" i="32"/>
  <c r="AF23" i="32"/>
  <c r="AI23" i="32" s="1"/>
  <c r="AG23" i="32"/>
  <c r="X16" i="32"/>
  <c r="L16" i="32"/>
  <c r="R16" i="32" s="1"/>
  <c r="X20" i="32"/>
  <c r="AA20" i="32" s="1"/>
  <c r="Y20" i="32"/>
  <c r="AG18" i="32"/>
  <c r="Y33" i="32"/>
  <c r="X33" i="32"/>
  <c r="AA33" i="32" s="1"/>
  <c r="AG35" i="32"/>
  <c r="AF35" i="32"/>
  <c r="AI35" i="32" s="1"/>
  <c r="X38" i="32"/>
  <c r="AA38" i="32" s="1"/>
  <c r="Y38" i="32"/>
  <c r="X23" i="32"/>
  <c r="AA23" i="32" s="1"/>
  <c r="Y23" i="32"/>
  <c r="AG21" i="32"/>
  <c r="AF21" i="32"/>
  <c r="AI21" i="32" s="1"/>
  <c r="Z19" i="32"/>
  <c r="L19" i="32"/>
  <c r="R19" i="32" s="1"/>
  <c r="Y32" i="32"/>
  <c r="X32" i="32"/>
  <c r="AA32" i="32" s="1"/>
  <c r="Y21" i="32"/>
  <c r="X21" i="32"/>
  <c r="AA21" i="32" s="1"/>
  <c r="AG37" i="32"/>
  <c r="AF37" i="32"/>
  <c r="AI37" i="32" s="1"/>
  <c r="X35" i="32"/>
  <c r="AA35" i="32" s="1"/>
  <c r="Y35" i="32"/>
  <c r="AD40" i="32"/>
  <c r="G56" i="32" s="1"/>
  <c r="AF28" i="32"/>
  <c r="AG28" i="32"/>
  <c r="X37" i="32"/>
  <c r="AA37" i="32" s="1"/>
  <c r="Y37" i="32"/>
  <c r="AD24" i="32"/>
  <c r="X29" i="32"/>
  <c r="AA29" i="32" s="1"/>
  <c r="Y29" i="32"/>
  <c r="Z18" i="32"/>
  <c r="L18" i="32"/>
  <c r="R18" i="32" s="1"/>
  <c r="AH18" i="32"/>
  <c r="AF20" i="32"/>
  <c r="AI20" i="32" s="1"/>
  <c r="Y39" i="32"/>
  <c r="X39" i="32"/>
  <c r="AA39" i="32" s="1"/>
  <c r="AG39" i="32"/>
  <c r="AF39" i="32"/>
  <c r="AI39" i="32" s="1"/>
  <c r="AE24" i="32"/>
  <c r="AF34" i="32"/>
  <c r="AI34" i="32" s="1"/>
  <c r="AG34" i="32"/>
  <c r="AG30" i="32"/>
  <c r="AF30" i="32"/>
  <c r="AI30" i="32" s="1"/>
  <c r="AG29" i="32"/>
  <c r="AF29" i="32"/>
  <c r="AI29" i="32" s="1"/>
  <c r="O23" i="32"/>
  <c r="O21" i="32"/>
  <c r="O22" i="32"/>
  <c r="AG31" i="32"/>
  <c r="AF31" i="32"/>
  <c r="AI31" i="32" s="1"/>
  <c r="Y22" i="32"/>
  <c r="X22" i="32"/>
  <c r="AA22" i="32" s="1"/>
  <c r="Y19" i="32"/>
  <c r="Y31" i="32"/>
  <c r="X31" i="32"/>
  <c r="AA31" i="32" s="1"/>
  <c r="X30" i="32"/>
  <c r="AA30" i="32" s="1"/>
  <c r="Y30" i="32"/>
  <c r="AG36" i="32"/>
  <c r="AF36" i="32"/>
  <c r="AI36" i="32" s="1"/>
  <c r="Y17" i="32"/>
  <c r="AG16" i="32"/>
  <c r="AG19" i="32"/>
  <c r="W24" i="32"/>
  <c r="AG38" i="32"/>
  <c r="AF38" i="32"/>
  <c r="AI38" i="32" s="1"/>
  <c r="AG33" i="32"/>
  <c r="AF33" i="32"/>
  <c r="AI33" i="32" s="1"/>
  <c r="Y36" i="32"/>
  <c r="X36" i="32"/>
  <c r="AA36" i="32" s="1"/>
  <c r="V40" i="32"/>
  <c r="E56" i="32" s="1"/>
  <c r="X28" i="32"/>
  <c r="Y28" i="32"/>
  <c r="AG32" i="32"/>
  <c r="AF32" i="32"/>
  <c r="AI32" i="32" s="1"/>
  <c r="W18" i="30"/>
  <c r="W19" i="30" s="1"/>
  <c r="X15" i="30"/>
  <c r="N21" i="33" l="1"/>
  <c r="AC17" i="32"/>
  <c r="AH17" i="32" s="1"/>
  <c r="Y16" i="32"/>
  <c r="L17" i="32"/>
  <c r="R17" i="32" s="1"/>
  <c r="AC16" i="32"/>
  <c r="AF16" i="32" s="1"/>
  <c r="AF22" i="32"/>
  <c r="AI22" i="32" s="1"/>
  <c r="O20" i="32"/>
  <c r="S20" i="32" s="1"/>
  <c r="AB24" i="32"/>
  <c r="I52" i="32" s="1"/>
  <c r="X40" i="32"/>
  <c r="J21" i="33"/>
  <c r="K24" i="32"/>
  <c r="C52" i="32" s="1"/>
  <c r="L21" i="33"/>
  <c r="E21" i="33"/>
  <c r="G21" i="33"/>
  <c r="I21" i="33"/>
  <c r="C21" i="33"/>
  <c r="P10" i="33"/>
  <c r="F11" i="35" s="1"/>
  <c r="F21" i="33"/>
  <c r="M21" i="33"/>
  <c r="P16" i="33"/>
  <c r="D21" i="33"/>
  <c r="K21" i="33"/>
  <c r="AI16" i="32"/>
  <c r="C18" i="33"/>
  <c r="P18" i="33" s="1"/>
  <c r="P7" i="33"/>
  <c r="F8" i="35" s="1"/>
  <c r="G8" i="35" s="1"/>
  <c r="AA16" i="32"/>
  <c r="S21" i="32"/>
  <c r="S23" i="32"/>
  <c r="O16" i="32"/>
  <c r="S22" i="32"/>
  <c r="AF19" i="32"/>
  <c r="AI19" i="32" s="1"/>
  <c r="O17" i="32"/>
  <c r="AG40" i="32"/>
  <c r="F56" i="32" s="1"/>
  <c r="O18" i="32"/>
  <c r="AF18" i="32"/>
  <c r="AI18" i="32" s="1"/>
  <c r="U24" i="32"/>
  <c r="G53" i="32" s="1"/>
  <c r="Z16" i="32"/>
  <c r="Z24" i="32" s="1"/>
  <c r="F53" i="32" s="1"/>
  <c r="AF40" i="32"/>
  <c r="AI28" i="32"/>
  <c r="AI40" i="32" s="1"/>
  <c r="G52" i="32"/>
  <c r="AG24" i="32"/>
  <c r="H52" i="32" s="1"/>
  <c r="AF17" i="32"/>
  <c r="AI17" i="32" s="1"/>
  <c r="X18" i="32"/>
  <c r="AA18" i="32" s="1"/>
  <c r="Y40" i="32"/>
  <c r="D56" i="32" s="1"/>
  <c r="Q24" i="32"/>
  <c r="B52" i="32" s="1"/>
  <c r="L24" i="32"/>
  <c r="C53" i="32" s="1"/>
  <c r="AA28" i="32"/>
  <c r="AA40" i="32" s="1"/>
  <c r="O19" i="32"/>
  <c r="Y24" i="32"/>
  <c r="F52" i="32" s="1"/>
  <c r="X17" i="32"/>
  <c r="AA17" i="32" s="1"/>
  <c r="X19" i="32"/>
  <c r="AA19" i="32" s="1"/>
  <c r="X18" i="30"/>
  <c r="Y15" i="30"/>
  <c r="AH16" i="32" l="1"/>
  <c r="AH24" i="32" s="1"/>
  <c r="H53" i="32" s="1"/>
  <c r="AC24" i="32"/>
  <c r="I53" i="32" s="1"/>
  <c r="P21" i="33"/>
  <c r="Q21" i="33" s="1"/>
  <c r="AF24" i="32"/>
  <c r="E5" i="5" s="1"/>
  <c r="E6" i="5" s="1"/>
  <c r="H9" i="35"/>
  <c r="H10" i="35"/>
  <c r="H11" i="35" s="1"/>
  <c r="X24" i="32"/>
  <c r="C9" i="35" s="1"/>
  <c r="C10" i="35"/>
  <c r="C11" i="35" s="1"/>
  <c r="S18" i="32"/>
  <c r="S17" i="32"/>
  <c r="S19" i="32"/>
  <c r="R24" i="32"/>
  <c r="B53" i="32" s="1"/>
  <c r="S16" i="32"/>
  <c r="AI24" i="32"/>
  <c r="O24" i="32"/>
  <c r="C8" i="35" s="1"/>
  <c r="AA24" i="32"/>
  <c r="D53" i="32"/>
  <c r="E52" i="32"/>
  <c r="E53" i="32"/>
  <c r="X19" i="30"/>
  <c r="Y19" i="30" s="1"/>
  <c r="P44" i="30" s="1"/>
  <c r="Y18" i="30"/>
  <c r="E11" i="35" l="1"/>
  <c r="D11" i="35"/>
  <c r="J11" i="35"/>
  <c r="I11" i="35"/>
  <c r="H6" i="5"/>
  <c r="I6" i="5" s="1"/>
  <c r="E10" i="35"/>
  <c r="D10" i="35"/>
  <c r="D8" i="35"/>
  <c r="E3" i="5"/>
  <c r="D9" i="35"/>
  <c r="E9" i="35"/>
  <c r="E4" i="5"/>
  <c r="F4" i="5" s="1"/>
  <c r="J10" i="35"/>
  <c r="I10" i="35"/>
  <c r="J9" i="35"/>
  <c r="I9" i="35"/>
  <c r="S24" i="32"/>
  <c r="D52" i="32"/>
  <c r="I17" i="5" l="1"/>
  <c r="I15" i="5"/>
  <c r="I18" i="5"/>
  <c r="I16" i="5"/>
  <c r="I31" i="15" s="1"/>
  <c r="F6" i="5"/>
  <c r="G6" i="5" s="1"/>
  <c r="E8" i="35"/>
  <c r="M8" i="35" s="1"/>
  <c r="G28" i="15" s="1"/>
  <c r="H3" i="5"/>
  <c r="I3" i="5" s="1"/>
  <c r="E16" i="5" s="1"/>
  <c r="F3" i="5"/>
  <c r="G3" i="5" s="1"/>
  <c r="E10" i="20" l="1"/>
  <c r="E17" i="5"/>
  <c r="E15" i="5"/>
  <c r="E18" i="5"/>
  <c r="I28" i="15"/>
  <c r="N8" i="35"/>
  <c r="E12" i="5"/>
  <c r="E11" i="5"/>
  <c r="E13" i="5"/>
  <c r="E10" i="5"/>
  <c r="E14" i="5"/>
  <c r="E12" i="20" l="1"/>
  <c r="E12" i="19"/>
  <c r="C14" i="20"/>
  <c r="J9" i="33" l="1"/>
  <c r="J8" i="33"/>
  <c r="AC15" i="1"/>
  <c r="AC17" i="1" s="1"/>
  <c r="AB15" i="1"/>
  <c r="AB17" i="1" s="1"/>
  <c r="N8" i="33" l="1"/>
  <c r="H8" i="33"/>
  <c r="F8" i="33"/>
  <c r="C8" i="33"/>
  <c r="D8" i="33"/>
  <c r="K8" i="33"/>
  <c r="L8" i="33"/>
  <c r="E8" i="33"/>
  <c r="G8" i="33"/>
  <c r="I8" i="33"/>
  <c r="M8" i="33"/>
  <c r="J14" i="33"/>
  <c r="C14" i="33"/>
  <c r="K14" i="33"/>
  <c r="F14" i="33"/>
  <c r="E14" i="33"/>
  <c r="G14" i="33"/>
  <c r="N14" i="33"/>
  <c r="I14" i="33"/>
  <c r="D14" i="33"/>
  <c r="M14" i="33"/>
  <c r="H14" i="33"/>
  <c r="L14" i="33"/>
  <c r="D9" i="33"/>
  <c r="K9" i="33"/>
  <c r="F9" i="33"/>
  <c r="N9" i="33"/>
  <c r="H9" i="33"/>
  <c r="G9" i="33"/>
  <c r="E9" i="33"/>
  <c r="C9" i="33"/>
  <c r="I9" i="33"/>
  <c r="L9" i="33"/>
  <c r="M9" i="33"/>
  <c r="M15" i="33"/>
  <c r="D15" i="33"/>
  <c r="O20" i="33"/>
  <c r="K15" i="33"/>
  <c r="H15" i="33"/>
  <c r="C15" i="33"/>
  <c r="L15" i="33"/>
  <c r="G15" i="33"/>
  <c r="F15" i="33"/>
  <c r="J15" i="33"/>
  <c r="I15" i="33"/>
  <c r="E15" i="33"/>
  <c r="N15" i="33"/>
  <c r="F19" i="33" l="1"/>
  <c r="N19" i="33"/>
  <c r="K20" i="33"/>
  <c r="I19" i="33"/>
  <c r="H20" i="33"/>
  <c r="H19" i="33"/>
  <c r="M20" i="33"/>
  <c r="J20" i="33"/>
  <c r="M19" i="33"/>
  <c r="F20" i="33"/>
  <c r="D19" i="33"/>
  <c r="P15" i="33"/>
  <c r="K10" i="35" s="1"/>
  <c r="K11" i="35" s="1"/>
  <c r="L11" i="35" s="1"/>
  <c r="N20" i="33"/>
  <c r="C19" i="33"/>
  <c r="P8" i="33"/>
  <c r="L20" i="33"/>
  <c r="G19" i="33"/>
  <c r="I20" i="33"/>
  <c r="E19" i="33"/>
  <c r="P9" i="33"/>
  <c r="F10" i="35" s="1"/>
  <c r="G11" i="35" s="1"/>
  <c r="C20" i="33"/>
  <c r="D20" i="33"/>
  <c r="L19" i="33"/>
  <c r="E20" i="33"/>
  <c r="P14" i="33"/>
  <c r="K19" i="33"/>
  <c r="G20" i="33"/>
  <c r="J19" i="33"/>
  <c r="H8" i="28"/>
  <c r="I8" i="28" s="1"/>
  <c r="J8" i="28" s="1"/>
  <c r="E11" i="28"/>
  <c r="M11" i="35" l="1"/>
  <c r="Q14" i="33"/>
  <c r="K9" i="35"/>
  <c r="Q8" i="33"/>
  <c r="F9" i="35"/>
  <c r="L10" i="35"/>
  <c r="G10" i="35"/>
  <c r="P20" i="33"/>
  <c r="Q20" i="33" s="1"/>
  <c r="Q9" i="33"/>
  <c r="Q15" i="33"/>
  <c r="P19" i="33"/>
  <c r="Q19" i="33" s="1"/>
  <c r="H7" i="28"/>
  <c r="I7" i="28" s="1"/>
  <c r="J7" i="28" s="1"/>
  <c r="F11" i="28"/>
  <c r="G11" i="28" s="1"/>
  <c r="N11" i="35" l="1"/>
  <c r="G31" i="15"/>
  <c r="L9" i="35"/>
  <c r="M10" i="35"/>
  <c r="E8" i="28"/>
  <c r="E10" i="28"/>
  <c r="F10" i="28" s="1"/>
  <c r="G10" i="28" s="1"/>
  <c r="E17" i="31"/>
  <c r="H10" i="28"/>
  <c r="I10" i="28" s="1"/>
  <c r="J10" i="28" s="1"/>
  <c r="E9" i="28"/>
  <c r="F8" i="28"/>
  <c r="G8" i="28" s="1"/>
  <c r="K8" i="28"/>
  <c r="L8" i="28" s="1"/>
  <c r="M8" i="28" s="1"/>
  <c r="H4" i="5"/>
  <c r="E7" i="28"/>
  <c r="G30" i="15" l="1"/>
  <c r="O10" i="35"/>
  <c r="N10" i="35"/>
  <c r="P10" i="35"/>
  <c r="G4" i="5"/>
  <c r="F17" i="31"/>
  <c r="G17" i="31" s="1"/>
  <c r="H17" i="31" s="1"/>
  <c r="I17" i="31" s="1"/>
  <c r="J17" i="31" s="1"/>
  <c r="K17" i="31" s="1"/>
  <c r="L17" i="31" s="1"/>
  <c r="M17" i="31" s="1"/>
  <c r="N17" i="31" s="1"/>
  <c r="O17" i="31" s="1"/>
  <c r="P17" i="31" s="1"/>
  <c r="Q17" i="31" s="1"/>
  <c r="R17" i="31" s="1"/>
  <c r="S17" i="31" s="1"/>
  <c r="T17" i="31" s="1"/>
  <c r="U17" i="31" s="1"/>
  <c r="V17" i="31" s="1"/>
  <c r="W17" i="31" s="1"/>
  <c r="X17" i="31" s="1"/>
  <c r="H11" i="28"/>
  <c r="I11" i="28" s="1"/>
  <c r="J11" i="28" s="1"/>
  <c r="K10" i="28"/>
  <c r="L10" i="28" s="1"/>
  <c r="M10" i="28" s="1"/>
  <c r="H5" i="5"/>
  <c r="F9" i="28"/>
  <c r="G9" i="28" s="1"/>
  <c r="F7" i="28"/>
  <c r="G7" i="28" s="1"/>
  <c r="K7" i="28"/>
  <c r="L7" i="28" s="1"/>
  <c r="M7" i="28" s="1"/>
  <c r="F5" i="5" l="1"/>
  <c r="G5" i="5" s="1"/>
  <c r="I10" i="5"/>
  <c r="I5" i="5"/>
  <c r="H9" i="28"/>
  <c r="E12" i="31"/>
  <c r="Y17" i="31"/>
  <c r="E25" i="30"/>
  <c r="E25" i="31"/>
  <c r="E15" i="31"/>
  <c r="K11" i="28"/>
  <c r="L11" i="28" s="1"/>
  <c r="M11" i="28" s="1"/>
  <c r="G9" i="35"/>
  <c r="E5" i="2"/>
  <c r="H13" i="5" l="1"/>
  <c r="H17" i="5"/>
  <c r="H15" i="5"/>
  <c r="H18" i="5"/>
  <c r="H16" i="5"/>
  <c r="I30" i="15" s="1"/>
  <c r="O9" i="35"/>
  <c r="M9" i="35"/>
  <c r="G29" i="15" s="1"/>
  <c r="H14" i="5"/>
  <c r="H12" i="5"/>
  <c r="H10" i="5"/>
  <c r="H11" i="5"/>
  <c r="F12" i="31"/>
  <c r="G12" i="31" s="1"/>
  <c r="H12" i="31" s="1"/>
  <c r="I12" i="31" s="1"/>
  <c r="J12" i="31" s="1"/>
  <c r="K12" i="31" s="1"/>
  <c r="L12" i="31" s="1"/>
  <c r="M12" i="31" s="1"/>
  <c r="N12" i="31" s="1"/>
  <c r="O12" i="31" s="1"/>
  <c r="P12" i="31" s="1"/>
  <c r="Q12" i="31" s="1"/>
  <c r="R12" i="31" s="1"/>
  <c r="S12" i="31" s="1"/>
  <c r="T12" i="31" s="1"/>
  <c r="U12" i="31" s="1"/>
  <c r="V12" i="31" s="1"/>
  <c r="W12" i="31" s="1"/>
  <c r="X12" i="31" s="1"/>
  <c r="I9" i="28"/>
  <c r="J9" i="28" s="1"/>
  <c r="K9" i="28"/>
  <c r="L9" i="28" s="1"/>
  <c r="M9" i="28" s="1"/>
  <c r="F25" i="31"/>
  <c r="E28" i="31"/>
  <c r="F25" i="30"/>
  <c r="E28" i="30"/>
  <c r="F15" i="31"/>
  <c r="E18" i="31"/>
  <c r="I14" i="5"/>
  <c r="I13" i="5"/>
  <c r="I12" i="5"/>
  <c r="I11" i="5"/>
  <c r="N9" i="35" l="1"/>
  <c r="P9" i="35"/>
  <c r="Y12" i="31"/>
  <c r="G25" i="31"/>
  <c r="F28" i="31"/>
  <c r="F29" i="31" s="1"/>
  <c r="E29" i="31"/>
  <c r="E29" i="30"/>
  <c r="E19" i="31"/>
  <c r="G25" i="30"/>
  <c r="F28" i="30"/>
  <c r="F29" i="30" s="1"/>
  <c r="G15" i="31"/>
  <c r="F18" i="31"/>
  <c r="F19" i="31" s="1"/>
  <c r="E30" i="31"/>
  <c r="E30" i="30"/>
  <c r="F13" i="1"/>
  <c r="D13" i="1"/>
  <c r="E33" i="30" l="1"/>
  <c r="F30" i="30"/>
  <c r="H15" i="31"/>
  <c r="G18" i="31"/>
  <c r="G19" i="31" s="1"/>
  <c r="E20" i="31"/>
  <c r="E20" i="30"/>
  <c r="F30" i="31"/>
  <c r="E33" i="31"/>
  <c r="G28" i="30"/>
  <c r="G29" i="30" s="1"/>
  <c r="H25" i="30"/>
  <c r="H25" i="31"/>
  <c r="G28" i="31"/>
  <c r="E13" i="1"/>
  <c r="E5" i="1"/>
  <c r="F9" i="1" l="1"/>
  <c r="F15" i="1"/>
  <c r="F14" i="1"/>
  <c r="F16" i="1" s="1"/>
  <c r="C25" i="20" s="1"/>
  <c r="F8" i="1"/>
  <c r="D9" i="1"/>
  <c r="D16" i="1"/>
  <c r="C15" i="20" s="1"/>
  <c r="E15" i="20" s="1"/>
  <c r="D8" i="1"/>
  <c r="I25" i="30"/>
  <c r="H28" i="30"/>
  <c r="H29" i="30" s="1"/>
  <c r="E34" i="31"/>
  <c r="G30" i="30"/>
  <c r="F33" i="30"/>
  <c r="F34" i="30" s="1"/>
  <c r="G29" i="31"/>
  <c r="G30" i="31"/>
  <c r="F33" i="31"/>
  <c r="F34" i="31" s="1"/>
  <c r="E34" i="30"/>
  <c r="F20" i="31"/>
  <c r="E23" i="31"/>
  <c r="I25" i="31"/>
  <c r="H28" i="31"/>
  <c r="H29" i="31" s="1"/>
  <c r="F20" i="30"/>
  <c r="E23" i="30"/>
  <c r="I15" i="31"/>
  <c r="H18" i="31"/>
  <c r="H19" i="31" s="1"/>
  <c r="E4" i="1"/>
  <c r="E26" i="20" l="1"/>
  <c r="F26" i="20" s="1"/>
  <c r="E25" i="20"/>
  <c r="E28" i="20" s="1"/>
  <c r="E29" i="20" s="1"/>
  <c r="E27" i="20"/>
  <c r="F27" i="20" s="1"/>
  <c r="G27" i="20" s="1"/>
  <c r="H27" i="20" s="1"/>
  <c r="I27" i="20" s="1"/>
  <c r="E9" i="1"/>
  <c r="E15" i="1"/>
  <c r="E16" i="20"/>
  <c r="F16" i="20" s="1"/>
  <c r="G16" i="20" s="1"/>
  <c r="H16" i="20" s="1"/>
  <c r="I16" i="20" s="1"/>
  <c r="J16" i="20" s="1"/>
  <c r="K16" i="20" s="1"/>
  <c r="L16" i="20" s="1"/>
  <c r="M16" i="20" s="1"/>
  <c r="N16" i="20" s="1"/>
  <c r="O16" i="20" s="1"/>
  <c r="P16" i="20" s="1"/>
  <c r="Q16" i="20" s="1"/>
  <c r="R16" i="20" s="1"/>
  <c r="S16" i="20" s="1"/>
  <c r="T16" i="20" s="1"/>
  <c r="U16" i="20" s="1"/>
  <c r="V16" i="20" s="1"/>
  <c r="W16" i="20" s="1"/>
  <c r="X16" i="20" s="1"/>
  <c r="F15" i="20"/>
  <c r="G15" i="20" s="1"/>
  <c r="E14" i="1"/>
  <c r="E16" i="1" s="1"/>
  <c r="C25" i="31" s="1"/>
  <c r="C29" i="31" s="1"/>
  <c r="E8" i="1"/>
  <c r="D29" i="15"/>
  <c r="C20" i="31"/>
  <c r="C24" i="31" s="1"/>
  <c r="D31" i="15"/>
  <c r="C30" i="31"/>
  <c r="C34" i="31" s="1"/>
  <c r="I28" i="31"/>
  <c r="J25" i="31"/>
  <c r="I18" i="31"/>
  <c r="I19" i="31" s="1"/>
  <c r="J15" i="31"/>
  <c r="F23" i="30"/>
  <c r="F24" i="30" s="1"/>
  <c r="G20" i="30"/>
  <c r="E24" i="31"/>
  <c r="E24" i="30"/>
  <c r="G20" i="31"/>
  <c r="F23" i="31"/>
  <c r="F24" i="31" s="1"/>
  <c r="G33" i="31"/>
  <c r="H30" i="31"/>
  <c r="H30" i="30"/>
  <c r="G33" i="30"/>
  <c r="I28" i="30"/>
  <c r="J25" i="30"/>
  <c r="C19" i="20"/>
  <c r="D17" i="1"/>
  <c r="C29" i="20"/>
  <c r="F17" i="1"/>
  <c r="F25" i="20" l="1"/>
  <c r="G25" i="20" s="1"/>
  <c r="H25" i="20" s="1"/>
  <c r="I25" i="20" s="1"/>
  <c r="J25" i="20" s="1"/>
  <c r="K25" i="20" s="1"/>
  <c r="L25" i="20" s="1"/>
  <c r="G26" i="20"/>
  <c r="H26" i="20" s="1"/>
  <c r="I26" i="20" s="1"/>
  <c r="J26" i="20" s="1"/>
  <c r="K26" i="20" s="1"/>
  <c r="L26" i="20" s="1"/>
  <c r="M26" i="20" s="1"/>
  <c r="N26" i="20" s="1"/>
  <c r="O26" i="20" s="1"/>
  <c r="P26" i="20" s="1"/>
  <c r="Q26" i="20" s="1"/>
  <c r="R26" i="20" s="1"/>
  <c r="S26" i="20" s="1"/>
  <c r="T26" i="20" s="1"/>
  <c r="U26" i="20" s="1"/>
  <c r="V26" i="20" s="1"/>
  <c r="W26" i="20" s="1"/>
  <c r="X26" i="20" s="1"/>
  <c r="J27" i="20"/>
  <c r="D30" i="15"/>
  <c r="E17" i="1"/>
  <c r="Y16" i="20"/>
  <c r="C20" i="20"/>
  <c r="H15" i="20"/>
  <c r="H33" i="30"/>
  <c r="H34" i="30" s="1"/>
  <c r="I30" i="30"/>
  <c r="K15" i="31"/>
  <c r="J18" i="31"/>
  <c r="I29" i="30"/>
  <c r="H20" i="31"/>
  <c r="G23" i="31"/>
  <c r="G24" i="31" s="1"/>
  <c r="G23" i="30"/>
  <c r="H20" i="30"/>
  <c r="I30" i="31"/>
  <c r="H33" i="31"/>
  <c r="H34" i="31" s="1"/>
  <c r="J28" i="31"/>
  <c r="J29" i="31" s="1"/>
  <c r="K25" i="31"/>
  <c r="K25" i="30"/>
  <c r="J28" i="30"/>
  <c r="J29" i="30" s="1"/>
  <c r="G34" i="30"/>
  <c r="G34" i="31"/>
  <c r="I29" i="31"/>
  <c r="F28" i="20" l="1"/>
  <c r="F29" i="20" s="1"/>
  <c r="G28" i="20"/>
  <c r="G29" i="20" s="1"/>
  <c r="Y26" i="20"/>
  <c r="I28" i="20"/>
  <c r="I29" i="20" s="1"/>
  <c r="H28" i="20"/>
  <c r="H29" i="20" s="1"/>
  <c r="K27" i="20"/>
  <c r="J28" i="20"/>
  <c r="J29" i="20" s="1"/>
  <c r="M25" i="20"/>
  <c r="C24" i="20"/>
  <c r="E21" i="20"/>
  <c r="F21" i="20" s="1"/>
  <c r="G21" i="20" s="1"/>
  <c r="H21" i="20" s="1"/>
  <c r="I21" i="20" s="1"/>
  <c r="E20" i="20"/>
  <c r="F20" i="20" s="1"/>
  <c r="E22" i="20"/>
  <c r="F22" i="20" s="1"/>
  <c r="G22" i="20" s="1"/>
  <c r="H22" i="20" s="1"/>
  <c r="I22" i="20" s="1"/>
  <c r="J22" i="20" s="1"/>
  <c r="K22" i="20" s="1"/>
  <c r="L22" i="20" s="1"/>
  <c r="M22" i="20" s="1"/>
  <c r="N22" i="20" s="1"/>
  <c r="O22" i="20" s="1"/>
  <c r="P22" i="20" s="1"/>
  <c r="Q22" i="20" s="1"/>
  <c r="R22" i="20" s="1"/>
  <c r="S22" i="20" s="1"/>
  <c r="T22" i="20" s="1"/>
  <c r="U22" i="20" s="1"/>
  <c r="V22" i="20" s="1"/>
  <c r="W22" i="20" s="1"/>
  <c r="X22" i="20" s="1"/>
  <c r="I15" i="20"/>
  <c r="G24" i="30"/>
  <c r="H23" i="31"/>
  <c r="I20" i="31"/>
  <c r="L15" i="31"/>
  <c r="K18" i="31"/>
  <c r="K19" i="31" s="1"/>
  <c r="K28" i="30"/>
  <c r="K29" i="30" s="1"/>
  <c r="L25" i="30"/>
  <c r="I33" i="31"/>
  <c r="I34" i="31" s="1"/>
  <c r="J30" i="31"/>
  <c r="J30" i="30"/>
  <c r="I33" i="30"/>
  <c r="L25" i="31"/>
  <c r="K28" i="31"/>
  <c r="I20" i="30"/>
  <c r="H23" i="30"/>
  <c r="H24" i="30" s="1"/>
  <c r="J19" i="31"/>
  <c r="N25" i="20" l="1"/>
  <c r="L27" i="20"/>
  <c r="K28" i="20"/>
  <c r="K29" i="20" s="1"/>
  <c r="F23" i="20"/>
  <c r="F24" i="20" s="1"/>
  <c r="G20" i="20"/>
  <c r="J21" i="20"/>
  <c r="K21" i="20" s="1"/>
  <c r="L21" i="20" s="1"/>
  <c r="M21" i="20" s="1"/>
  <c r="N21" i="20" s="1"/>
  <c r="O21" i="20" s="1"/>
  <c r="P21" i="20" s="1"/>
  <c r="Q21" i="20" s="1"/>
  <c r="R21" i="20" s="1"/>
  <c r="S21" i="20" s="1"/>
  <c r="T21" i="20" s="1"/>
  <c r="U21" i="20" s="1"/>
  <c r="V21" i="20" s="1"/>
  <c r="W21" i="20" s="1"/>
  <c r="X21" i="20" s="1"/>
  <c r="E23" i="20"/>
  <c r="E24" i="20" s="1"/>
  <c r="Y22" i="20"/>
  <c r="J15" i="20"/>
  <c r="K29" i="31"/>
  <c r="I23" i="31"/>
  <c r="I24" i="31" s="1"/>
  <c r="J20" i="31"/>
  <c r="J20" i="30"/>
  <c r="I23" i="30"/>
  <c r="I24" i="30" s="1"/>
  <c r="M25" i="31"/>
  <c r="L28" i="31"/>
  <c r="L29" i="31" s="1"/>
  <c r="K30" i="31"/>
  <c r="J33" i="31"/>
  <c r="H24" i="31"/>
  <c r="I34" i="30"/>
  <c r="K30" i="30"/>
  <c r="J33" i="30"/>
  <c r="J34" i="30" s="1"/>
  <c r="L28" i="30"/>
  <c r="L29" i="30" s="1"/>
  <c r="M25" i="30"/>
  <c r="L18" i="31"/>
  <c r="L19" i="31" s="1"/>
  <c r="M15" i="31"/>
  <c r="M27" i="20" l="1"/>
  <c r="L28" i="20"/>
  <c r="L29" i="20" s="1"/>
  <c r="O25" i="20"/>
  <c r="F12" i="20"/>
  <c r="G12" i="20" s="1"/>
  <c r="H12" i="20" s="1"/>
  <c r="I12" i="20" s="1"/>
  <c r="J12" i="20" s="1"/>
  <c r="K12" i="20" s="1"/>
  <c r="L12" i="20" s="1"/>
  <c r="M12" i="20" s="1"/>
  <c r="N12" i="20" s="1"/>
  <c r="O12" i="20" s="1"/>
  <c r="P12" i="20" s="1"/>
  <c r="Q12" i="20" s="1"/>
  <c r="R12" i="20" s="1"/>
  <c r="S12" i="20" s="1"/>
  <c r="T12" i="20" s="1"/>
  <c r="U12" i="20" s="1"/>
  <c r="V12" i="20" s="1"/>
  <c r="W12" i="20" s="1"/>
  <c r="X12" i="20" s="1"/>
  <c r="Y21" i="20"/>
  <c r="G23" i="20"/>
  <c r="G24" i="20" s="1"/>
  <c r="H20" i="20"/>
  <c r="K15" i="20"/>
  <c r="M28" i="31"/>
  <c r="M29" i="31" s="1"/>
  <c r="N25" i="31"/>
  <c r="N25" i="30"/>
  <c r="M28" i="30"/>
  <c r="M29" i="30" s="1"/>
  <c r="L30" i="30"/>
  <c r="K33" i="30"/>
  <c r="K34" i="30" s="1"/>
  <c r="J34" i="31"/>
  <c r="K20" i="31"/>
  <c r="J23" i="31"/>
  <c r="N15" i="31"/>
  <c r="M18" i="31"/>
  <c r="M19" i="31" s="1"/>
  <c r="L30" i="31"/>
  <c r="K33" i="31"/>
  <c r="K34" i="31" s="1"/>
  <c r="J23" i="30"/>
  <c r="K20" i="30"/>
  <c r="I4" i="5"/>
  <c r="P25" i="20" l="1"/>
  <c r="N27" i="20"/>
  <c r="M28" i="20"/>
  <c r="M29" i="20" s="1"/>
  <c r="G10" i="5"/>
  <c r="G16" i="5"/>
  <c r="I29" i="15" s="1"/>
  <c r="G17" i="5"/>
  <c r="G15" i="5"/>
  <c r="G18" i="5"/>
  <c r="Y12" i="20"/>
  <c r="I20" i="20"/>
  <c r="H23" i="20"/>
  <c r="H24" i="20" s="1"/>
  <c r="L15" i="20"/>
  <c r="J24" i="31"/>
  <c r="K23" i="30"/>
  <c r="K24" i="30" s="1"/>
  <c r="L20" i="30"/>
  <c r="L20" i="31"/>
  <c r="K23" i="31"/>
  <c r="K24" i="31" s="1"/>
  <c r="N28" i="30"/>
  <c r="N29" i="30" s="1"/>
  <c r="O25" i="30"/>
  <c r="J24" i="30"/>
  <c r="N28" i="31"/>
  <c r="N29" i="31" s="1"/>
  <c r="O25" i="31"/>
  <c r="M30" i="31"/>
  <c r="L33" i="31"/>
  <c r="L34" i="31" s="1"/>
  <c r="O15" i="31"/>
  <c r="N18" i="31"/>
  <c r="N19" i="31" s="1"/>
  <c r="L33" i="30"/>
  <c r="M30" i="30"/>
  <c r="G14" i="5"/>
  <c r="G12" i="5"/>
  <c r="G11" i="5"/>
  <c r="G13" i="5"/>
  <c r="Q25" i="20" l="1"/>
  <c r="O27" i="20"/>
  <c r="N28" i="20"/>
  <c r="N29" i="20" s="1"/>
  <c r="E17" i="20"/>
  <c r="J20" i="20"/>
  <c r="I23" i="20"/>
  <c r="I24" i="20" s="1"/>
  <c r="M15" i="20"/>
  <c r="N30" i="30"/>
  <c r="M33" i="30"/>
  <c r="M34" i="30" s="1"/>
  <c r="L34" i="30"/>
  <c r="L23" i="30"/>
  <c r="M20" i="30"/>
  <c r="M33" i="31"/>
  <c r="M34" i="31" s="1"/>
  <c r="N30" i="31"/>
  <c r="L23" i="31"/>
  <c r="L24" i="31" s="1"/>
  <c r="M20" i="31"/>
  <c r="P15" i="31"/>
  <c r="O18" i="31"/>
  <c r="O19" i="31" s="1"/>
  <c r="O28" i="31"/>
  <c r="O29" i="31" s="1"/>
  <c r="P25" i="31"/>
  <c r="O28" i="30"/>
  <c r="O29" i="30" s="1"/>
  <c r="P25" i="30"/>
  <c r="R25" i="20" l="1"/>
  <c r="P27" i="20"/>
  <c r="O28" i="20"/>
  <c r="O29" i="20" s="1"/>
  <c r="F17" i="20"/>
  <c r="E18" i="20"/>
  <c r="E19" i="20" s="1"/>
  <c r="K20" i="20"/>
  <c r="J23" i="20"/>
  <c r="J24" i="20" s="1"/>
  <c r="N15" i="20"/>
  <c r="P18" i="31"/>
  <c r="P19" i="31" s="1"/>
  <c r="Q15" i="31"/>
  <c r="O30" i="31"/>
  <c r="N33" i="31"/>
  <c r="N34" i="31" s="1"/>
  <c r="Q25" i="31"/>
  <c r="P28" i="31"/>
  <c r="P29" i="31" s="1"/>
  <c r="N20" i="31"/>
  <c r="M23" i="31"/>
  <c r="M24" i="31" s="1"/>
  <c r="N20" i="30"/>
  <c r="M23" i="30"/>
  <c r="M24" i="30" s="1"/>
  <c r="Q25" i="30"/>
  <c r="P28" i="30"/>
  <c r="P29" i="30" s="1"/>
  <c r="L24" i="30"/>
  <c r="N33" i="30"/>
  <c r="N34" i="30" s="1"/>
  <c r="O30" i="30"/>
  <c r="E10" i="31"/>
  <c r="S25" i="20" l="1"/>
  <c r="Q27" i="20"/>
  <c r="P28" i="20"/>
  <c r="P29" i="20" s="1"/>
  <c r="G17" i="20"/>
  <c r="F18" i="20"/>
  <c r="F19" i="20" s="1"/>
  <c r="L20" i="20"/>
  <c r="K23" i="20"/>
  <c r="K24" i="20" s="1"/>
  <c r="E13" i="20"/>
  <c r="F10" i="20"/>
  <c r="O15" i="20"/>
  <c r="Q28" i="30"/>
  <c r="Q29" i="30" s="1"/>
  <c r="R25" i="30"/>
  <c r="O20" i="31"/>
  <c r="N23" i="31"/>
  <c r="N24" i="31" s="1"/>
  <c r="O33" i="31"/>
  <c r="O34" i="31" s="1"/>
  <c r="P30" i="31"/>
  <c r="P30" i="30"/>
  <c r="O33" i="30"/>
  <c r="O34" i="30" s="1"/>
  <c r="Q18" i="31"/>
  <c r="Q19" i="31" s="1"/>
  <c r="R15" i="31"/>
  <c r="O20" i="30"/>
  <c r="N23" i="30"/>
  <c r="N24" i="30" s="1"/>
  <c r="Q28" i="31"/>
  <c r="Q29" i="31" s="1"/>
  <c r="R25" i="31"/>
  <c r="F10" i="31"/>
  <c r="E13" i="31"/>
  <c r="R27" i="20" l="1"/>
  <c r="Q28" i="20"/>
  <c r="Q29" i="20" s="1"/>
  <c r="T25" i="20"/>
  <c r="H17" i="20"/>
  <c r="G18" i="20"/>
  <c r="G19" i="20" s="1"/>
  <c r="M20" i="20"/>
  <c r="L23" i="20"/>
  <c r="L24" i="20" s="1"/>
  <c r="P15" i="20"/>
  <c r="F13" i="20"/>
  <c r="F14" i="20" s="1"/>
  <c r="G10" i="20"/>
  <c r="E14" i="20"/>
  <c r="P20" i="30"/>
  <c r="O23" i="30"/>
  <c r="O24" i="30" s="1"/>
  <c r="P33" i="30"/>
  <c r="P34" i="30" s="1"/>
  <c r="Q30" i="30"/>
  <c r="O23" i="31"/>
  <c r="O24" i="31" s="1"/>
  <c r="P20" i="31"/>
  <c r="R28" i="31"/>
  <c r="R29" i="31" s="1"/>
  <c r="S25" i="31"/>
  <c r="R18" i="31"/>
  <c r="R19" i="31" s="1"/>
  <c r="S15" i="31"/>
  <c r="P33" i="31"/>
  <c r="P34" i="31" s="1"/>
  <c r="Q30" i="31"/>
  <c r="R28" i="30"/>
  <c r="R29" i="30" s="1"/>
  <c r="S25" i="30"/>
  <c r="G10" i="31"/>
  <c r="F13" i="31"/>
  <c r="F14" i="31" s="1"/>
  <c r="E14" i="31"/>
  <c r="U25" i="20" l="1"/>
  <c r="S27" i="20"/>
  <c r="R28" i="20"/>
  <c r="R29" i="20" s="1"/>
  <c r="N20" i="20"/>
  <c r="M23" i="20"/>
  <c r="M24" i="20" s="1"/>
  <c r="I17" i="20"/>
  <c r="H18" i="20"/>
  <c r="H19" i="20" s="1"/>
  <c r="Q15" i="20"/>
  <c r="H10" i="20"/>
  <c r="G13" i="20"/>
  <c r="R30" i="30"/>
  <c r="Q33" i="30"/>
  <c r="Q34" i="30" s="1"/>
  <c r="T25" i="31"/>
  <c r="S28" i="31"/>
  <c r="S29" i="31" s="1"/>
  <c r="T25" i="30"/>
  <c r="S28" i="30"/>
  <c r="S29" i="30" s="1"/>
  <c r="S18" i="31"/>
  <c r="S19" i="31" s="1"/>
  <c r="T15" i="31"/>
  <c r="P23" i="31"/>
  <c r="P24" i="31" s="1"/>
  <c r="Q20" i="31"/>
  <c r="R30" i="31"/>
  <c r="Q33" i="31"/>
  <c r="Q34" i="31" s="1"/>
  <c r="Q20" i="30"/>
  <c r="P23" i="30"/>
  <c r="P24" i="30" s="1"/>
  <c r="H10" i="31"/>
  <c r="G13" i="31"/>
  <c r="G14" i="31" s="1"/>
  <c r="T27" i="20" l="1"/>
  <c r="S28" i="20"/>
  <c r="S29" i="20" s="1"/>
  <c r="V25" i="20"/>
  <c r="J17" i="20"/>
  <c r="I18" i="20"/>
  <c r="I19" i="20" s="1"/>
  <c r="O20" i="20"/>
  <c r="N23" i="20"/>
  <c r="N24" i="20" s="1"/>
  <c r="R15" i="20"/>
  <c r="G14" i="20"/>
  <c r="H13" i="20"/>
  <c r="H14" i="20" s="1"/>
  <c r="I10" i="20"/>
  <c r="U15" i="31"/>
  <c r="T18" i="31"/>
  <c r="T19" i="31" s="1"/>
  <c r="R33" i="31"/>
  <c r="R34" i="31" s="1"/>
  <c r="S30" i="31"/>
  <c r="U25" i="31"/>
  <c r="T28" i="31"/>
  <c r="T29" i="31" s="1"/>
  <c r="Q23" i="31"/>
  <c r="Q24" i="31" s="1"/>
  <c r="R20" i="31"/>
  <c r="Q23" i="30"/>
  <c r="Q24" i="30" s="1"/>
  <c r="R20" i="30"/>
  <c r="T28" i="30"/>
  <c r="T29" i="30" s="1"/>
  <c r="U25" i="30"/>
  <c r="S30" i="30"/>
  <c r="R33" i="30"/>
  <c r="R34" i="30" s="1"/>
  <c r="H13" i="31"/>
  <c r="I10" i="31"/>
  <c r="U27" i="20" l="1"/>
  <c r="T28" i="20"/>
  <c r="T29" i="20" s="1"/>
  <c r="W25" i="20"/>
  <c r="P20" i="20"/>
  <c r="O23" i="20"/>
  <c r="O24" i="20" s="1"/>
  <c r="K17" i="20"/>
  <c r="J18" i="20"/>
  <c r="J19" i="20" s="1"/>
  <c r="I13" i="20"/>
  <c r="J10" i="20"/>
  <c r="S15" i="20"/>
  <c r="S20" i="31"/>
  <c r="R23" i="31"/>
  <c r="R24" i="31" s="1"/>
  <c r="S33" i="31"/>
  <c r="S34" i="31" s="1"/>
  <c r="T30" i="31"/>
  <c r="S20" i="30"/>
  <c r="R23" i="30"/>
  <c r="R24" i="30" s="1"/>
  <c r="V25" i="30"/>
  <c r="U28" i="30"/>
  <c r="U29" i="30" s="1"/>
  <c r="S33" i="30"/>
  <c r="S34" i="30" s="1"/>
  <c r="T30" i="30"/>
  <c r="V25" i="31"/>
  <c r="U28" i="31"/>
  <c r="U29" i="31" s="1"/>
  <c r="U18" i="31"/>
  <c r="U19" i="31" s="1"/>
  <c r="V15" i="31"/>
  <c r="H14" i="31"/>
  <c r="J10" i="31"/>
  <c r="I13" i="31"/>
  <c r="I14" i="31" s="1"/>
  <c r="V27" i="20" l="1"/>
  <c r="U28" i="20"/>
  <c r="U29" i="20" s="1"/>
  <c r="X25" i="20"/>
  <c r="L17" i="20"/>
  <c r="K18" i="20"/>
  <c r="K19" i="20" s="1"/>
  <c r="Q20" i="20"/>
  <c r="P23" i="20"/>
  <c r="P24" i="20" s="1"/>
  <c r="K10" i="20"/>
  <c r="J13" i="20"/>
  <c r="J14" i="20" s="1"/>
  <c r="I14" i="20"/>
  <c r="T15" i="20"/>
  <c r="U30" i="31"/>
  <c r="T33" i="31"/>
  <c r="T34" i="31" s="1"/>
  <c r="V28" i="31"/>
  <c r="V29" i="31" s="1"/>
  <c r="W25" i="31"/>
  <c r="V28" i="30"/>
  <c r="V29" i="30" s="1"/>
  <c r="W25" i="30"/>
  <c r="V18" i="31"/>
  <c r="V19" i="31" s="1"/>
  <c r="W15" i="31"/>
  <c r="U30" i="30"/>
  <c r="T33" i="30"/>
  <c r="T34" i="30" s="1"/>
  <c r="T20" i="30"/>
  <c r="S23" i="30"/>
  <c r="S24" i="30" s="1"/>
  <c r="T20" i="31"/>
  <c r="S23" i="31"/>
  <c r="S24" i="31" s="1"/>
  <c r="J13" i="31"/>
  <c r="J14" i="31" s="1"/>
  <c r="K10" i="31"/>
  <c r="W27" i="20" l="1"/>
  <c r="V28" i="20"/>
  <c r="V29" i="20" s="1"/>
  <c r="Y25" i="20"/>
  <c r="R20" i="20"/>
  <c r="Q23" i="20"/>
  <c r="Q24" i="20" s="1"/>
  <c r="M17" i="20"/>
  <c r="L18" i="20"/>
  <c r="L19" i="20" s="1"/>
  <c r="U15" i="20"/>
  <c r="L10" i="20"/>
  <c r="K13" i="20"/>
  <c r="W18" i="31"/>
  <c r="W19" i="31" s="1"/>
  <c r="X15" i="31"/>
  <c r="X25" i="31"/>
  <c r="W28" i="31"/>
  <c r="W29" i="31" s="1"/>
  <c r="U20" i="30"/>
  <c r="T23" i="30"/>
  <c r="T24" i="30" s="1"/>
  <c r="X25" i="30"/>
  <c r="W28" i="30"/>
  <c r="W29" i="30" s="1"/>
  <c r="T23" i="31"/>
  <c r="T24" i="31" s="1"/>
  <c r="U20" i="31"/>
  <c r="V30" i="30"/>
  <c r="U33" i="30"/>
  <c r="U34" i="30" s="1"/>
  <c r="V30" i="31"/>
  <c r="U33" i="31"/>
  <c r="U34" i="31" s="1"/>
  <c r="K13" i="31"/>
  <c r="K14" i="31" s="1"/>
  <c r="L10" i="31"/>
  <c r="X27" i="20" l="1"/>
  <c r="W28" i="20"/>
  <c r="W29" i="20" s="1"/>
  <c r="N17" i="20"/>
  <c r="M18" i="20"/>
  <c r="M19" i="20" s="1"/>
  <c r="R23" i="20"/>
  <c r="R24" i="20" s="1"/>
  <c r="S20" i="20"/>
  <c r="K14" i="20"/>
  <c r="M10" i="20"/>
  <c r="L13" i="20"/>
  <c r="L14" i="20" s="1"/>
  <c r="V15" i="20"/>
  <c r="W30" i="30"/>
  <c r="V33" i="30"/>
  <c r="V34" i="30" s="1"/>
  <c r="X28" i="30"/>
  <c r="Y25" i="30"/>
  <c r="X28" i="31"/>
  <c r="Y25" i="31"/>
  <c r="V20" i="31"/>
  <c r="U23" i="31"/>
  <c r="U24" i="31" s="1"/>
  <c r="X18" i="31"/>
  <c r="Y15" i="31"/>
  <c r="W30" i="31"/>
  <c r="V33" i="31"/>
  <c r="V34" i="31" s="1"/>
  <c r="U23" i="30"/>
  <c r="U24" i="30" s="1"/>
  <c r="V20" i="30"/>
  <c r="L13" i="31"/>
  <c r="L14" i="31" s="1"/>
  <c r="M10" i="31"/>
  <c r="Y27" i="20" l="1"/>
  <c r="X28" i="20"/>
  <c r="T20" i="20"/>
  <c r="S23" i="20"/>
  <c r="S24" i="20" s="1"/>
  <c r="O17" i="20"/>
  <c r="N18" i="20"/>
  <c r="N19" i="20" s="1"/>
  <c r="W15" i="20"/>
  <c r="N10" i="20"/>
  <c r="M13" i="20"/>
  <c r="M14" i="20" s="1"/>
  <c r="W33" i="31"/>
  <c r="W34" i="31" s="1"/>
  <c r="X30" i="31"/>
  <c r="W20" i="31"/>
  <c r="V23" i="31"/>
  <c r="V24" i="31" s="1"/>
  <c r="X29" i="30"/>
  <c r="Y28" i="30"/>
  <c r="V23" i="30"/>
  <c r="V24" i="30" s="1"/>
  <c r="W20" i="30"/>
  <c r="X19" i="31"/>
  <c r="Y19" i="31" s="1"/>
  <c r="Y18" i="31"/>
  <c r="X29" i="31"/>
  <c r="Y29" i="31" s="1"/>
  <c r="Y28" i="31"/>
  <c r="W33" i="30"/>
  <c r="W34" i="30" s="1"/>
  <c r="X30" i="30"/>
  <c r="N10" i="31"/>
  <c r="M13" i="31"/>
  <c r="M14" i="31" s="1"/>
  <c r="X29" i="20" l="1"/>
  <c r="Y29" i="20" s="1"/>
  <c r="Y28" i="20"/>
  <c r="P17" i="20"/>
  <c r="O18" i="20"/>
  <c r="O19" i="20" s="1"/>
  <c r="T23" i="20"/>
  <c r="U20" i="20"/>
  <c r="O10" i="20"/>
  <c r="N13" i="20"/>
  <c r="N14" i="20" s="1"/>
  <c r="X15" i="20"/>
  <c r="W23" i="30"/>
  <c r="W24" i="30" s="1"/>
  <c r="X20" i="30"/>
  <c r="X20" i="31"/>
  <c r="W23" i="31"/>
  <c r="W24" i="31" s="1"/>
  <c r="X33" i="30"/>
  <c r="Y30" i="30"/>
  <c r="X33" i="31"/>
  <c r="Y30" i="31"/>
  <c r="N13" i="31"/>
  <c r="N14" i="31" s="1"/>
  <c r="O10" i="31"/>
  <c r="Q44" i="30"/>
  <c r="Q41" i="19" l="1"/>
  <c r="N31" i="15"/>
  <c r="Q47" i="30"/>
  <c r="T24" i="20"/>
  <c r="V20" i="20"/>
  <c r="U23" i="20"/>
  <c r="U24" i="20" s="1"/>
  <c r="Q17" i="20"/>
  <c r="P18" i="20"/>
  <c r="P19" i="20" s="1"/>
  <c r="Y15" i="20"/>
  <c r="P10" i="20"/>
  <c r="O13" i="20"/>
  <c r="O14" i="20" s="1"/>
  <c r="X34" i="31"/>
  <c r="Y34" i="31" s="1"/>
  <c r="Y33" i="31"/>
  <c r="X23" i="31"/>
  <c r="Y20" i="31"/>
  <c r="X23" i="30"/>
  <c r="Y20" i="30"/>
  <c r="R44" i="30"/>
  <c r="S44" i="30" s="1"/>
  <c r="X34" i="30"/>
  <c r="Y33" i="30"/>
  <c r="O13" i="31"/>
  <c r="O14" i="31" s="1"/>
  <c r="P10" i="31"/>
  <c r="R17" i="20" l="1"/>
  <c r="Q18" i="20"/>
  <c r="Q19" i="20" s="1"/>
  <c r="V23" i="20"/>
  <c r="V24" i="20" s="1"/>
  <c r="W20" i="20"/>
  <c r="Q10" i="20"/>
  <c r="P13" i="20"/>
  <c r="P14" i="20" s="1"/>
  <c r="T44" i="30"/>
  <c r="X24" i="31"/>
  <c r="Y24" i="31" s="1"/>
  <c r="Y23" i="31"/>
  <c r="X24" i="30"/>
  <c r="Y23" i="30"/>
  <c r="Q10" i="31"/>
  <c r="P13" i="31"/>
  <c r="P14" i="31" s="1"/>
  <c r="X20" i="20" l="1"/>
  <c r="X23" i="20" s="1"/>
  <c r="X24" i="20" s="1"/>
  <c r="W23" i="20"/>
  <c r="S17" i="20"/>
  <c r="R18" i="20"/>
  <c r="R10" i="20"/>
  <c r="Q13" i="20"/>
  <c r="Q14" i="20" s="1"/>
  <c r="R10" i="31"/>
  <c r="Q13" i="31"/>
  <c r="Q14" i="31" s="1"/>
  <c r="Y20" i="20" l="1"/>
  <c r="W24" i="20"/>
  <c r="Y24" i="20" s="1"/>
  <c r="Y23" i="20"/>
  <c r="R19" i="20"/>
  <c r="T17" i="20"/>
  <c r="S18" i="20"/>
  <c r="S19" i="20" s="1"/>
  <c r="R13" i="20"/>
  <c r="R14" i="20" s="1"/>
  <c r="S10" i="20"/>
  <c r="R13" i="31"/>
  <c r="R14" i="31" s="1"/>
  <c r="S10" i="31"/>
  <c r="Q46" i="30" l="1"/>
  <c r="Q40" i="19"/>
  <c r="N30" i="15"/>
  <c r="U17" i="20"/>
  <c r="T18" i="20"/>
  <c r="T19" i="20" s="1"/>
  <c r="T10" i="20"/>
  <c r="S13" i="20"/>
  <c r="S14" i="20" s="1"/>
  <c r="S13" i="31"/>
  <c r="S14" i="31" s="1"/>
  <c r="T10" i="31"/>
  <c r="V17" i="20" l="1"/>
  <c r="U18" i="20"/>
  <c r="U19" i="20" s="1"/>
  <c r="U10" i="20"/>
  <c r="T13" i="20"/>
  <c r="T14" i="20" s="1"/>
  <c r="T13" i="31"/>
  <c r="T14" i="31" s="1"/>
  <c r="U10" i="31"/>
  <c r="W17" i="20" l="1"/>
  <c r="V18" i="20"/>
  <c r="V10" i="20"/>
  <c r="U13" i="20"/>
  <c r="U14" i="20" s="1"/>
  <c r="V10" i="31"/>
  <c r="U13" i="31"/>
  <c r="U14" i="31" s="1"/>
  <c r="X17" i="20" l="1"/>
  <c r="W18" i="20"/>
  <c r="W19" i="20" s="1"/>
  <c r="V19" i="20"/>
  <c r="W10" i="20"/>
  <c r="V13" i="20"/>
  <c r="V14" i="20" s="1"/>
  <c r="V13" i="31"/>
  <c r="V14" i="31" s="1"/>
  <c r="W10" i="31"/>
  <c r="Y17" i="20" l="1"/>
  <c r="X18" i="20"/>
  <c r="X10" i="20"/>
  <c r="W13" i="20"/>
  <c r="W14" i="20" s="1"/>
  <c r="W13" i="31"/>
  <c r="W14" i="31" s="1"/>
  <c r="X10" i="31"/>
  <c r="X19" i="20" l="1"/>
  <c r="Y19" i="20" s="1"/>
  <c r="Q45" i="30" s="1"/>
  <c r="Y18" i="20"/>
  <c r="X13" i="20"/>
  <c r="Y10" i="20"/>
  <c r="X13" i="31"/>
  <c r="Y10" i="31"/>
  <c r="N29" i="15" l="1"/>
  <c r="Q39" i="19"/>
  <c r="X14" i="20"/>
  <c r="Y14" i="20" s="1"/>
  <c r="N28" i="15" s="1"/>
  <c r="P31" i="15" s="1"/>
  <c r="Y13" i="20"/>
  <c r="X14" i="31"/>
  <c r="Y14" i="31" s="1"/>
  <c r="Y13" i="31"/>
  <c r="P28" i="15" l="1"/>
  <c r="D33" i="15" s="1"/>
  <c r="Q43" i="30"/>
  <c r="Q38" i="19" l="1"/>
  <c r="P30" i="15" l="1"/>
  <c r="P29" i="15"/>
  <c r="D7" i="1" l="1"/>
  <c r="D10" i="1" s="1"/>
  <c r="E10" i="19" l="1"/>
  <c r="C20" i="30"/>
  <c r="C24" i="30" s="1"/>
  <c r="Y24" i="30" s="1"/>
  <c r="P45" i="30" s="1"/>
  <c r="R45" i="30" s="1"/>
  <c r="C29" i="15"/>
  <c r="C15" i="19"/>
  <c r="E15" i="19" s="1"/>
  <c r="D11" i="1"/>
  <c r="C14" i="19"/>
  <c r="C10" i="30"/>
  <c r="E7" i="1" l="1"/>
  <c r="E10" i="1" s="1"/>
  <c r="E11" i="1" s="1"/>
  <c r="F7" i="1"/>
  <c r="F10" i="1" s="1"/>
  <c r="F12" i="19"/>
  <c r="G12" i="19" s="1"/>
  <c r="H12" i="19" s="1"/>
  <c r="I12" i="19" s="1"/>
  <c r="J12" i="19" s="1"/>
  <c r="K12" i="19" s="1"/>
  <c r="L12" i="19" s="1"/>
  <c r="M12" i="19" s="1"/>
  <c r="N12" i="19" s="1"/>
  <c r="O12" i="19" s="1"/>
  <c r="P12" i="19" s="1"/>
  <c r="Q12" i="19" s="1"/>
  <c r="R12" i="19" s="1"/>
  <c r="S12" i="19" s="1"/>
  <c r="T12" i="19" s="1"/>
  <c r="U12" i="19" s="1"/>
  <c r="V12" i="19" s="1"/>
  <c r="W12" i="19" s="1"/>
  <c r="X12" i="19" s="1"/>
  <c r="F11" i="19"/>
  <c r="G11" i="19" s="1"/>
  <c r="H11" i="19" s="1"/>
  <c r="I11" i="19" s="1"/>
  <c r="J11" i="19" s="1"/>
  <c r="K11" i="19" s="1"/>
  <c r="L11" i="19" s="1"/>
  <c r="M11" i="19" s="1"/>
  <c r="N11" i="19" s="1"/>
  <c r="O11" i="19" s="1"/>
  <c r="P11" i="19" s="1"/>
  <c r="Q11" i="19" s="1"/>
  <c r="R11" i="19" s="1"/>
  <c r="S11" i="19" s="1"/>
  <c r="T11" i="19" s="1"/>
  <c r="U11" i="19" s="1"/>
  <c r="V11" i="19" s="1"/>
  <c r="W11" i="19" s="1"/>
  <c r="X11" i="19" s="1"/>
  <c r="F10" i="19"/>
  <c r="T45" i="30"/>
  <c r="S45" i="30"/>
  <c r="Y14" i="30"/>
  <c r="P43" i="30" s="1"/>
  <c r="R43" i="30" s="1"/>
  <c r="M11" i="30"/>
  <c r="I12" i="30"/>
  <c r="P12" i="30"/>
  <c r="H13" i="30"/>
  <c r="J14" i="30"/>
  <c r="H10" i="30"/>
  <c r="P11" i="30"/>
  <c r="O14" i="30"/>
  <c r="L12" i="30"/>
  <c r="X10" i="30"/>
  <c r="Y11" i="30"/>
  <c r="L13" i="30"/>
  <c r="E12" i="30"/>
  <c r="T10" i="30"/>
  <c r="E14" i="30"/>
  <c r="S11" i="30"/>
  <c r="N13" i="30"/>
  <c r="N14" i="30"/>
  <c r="V10" i="30"/>
  <c r="F14" i="30"/>
  <c r="W12" i="30"/>
  <c r="V12" i="30"/>
  <c r="T14" i="30"/>
  <c r="G13" i="30"/>
  <c r="O11" i="30"/>
  <c r="P10" i="30"/>
  <c r="Q13" i="30"/>
  <c r="G10" i="30"/>
  <c r="O10" i="30"/>
  <c r="R10" i="30"/>
  <c r="O12" i="30"/>
  <c r="E11" i="30"/>
  <c r="L14" i="30"/>
  <c r="U12" i="30"/>
  <c r="U10" i="30"/>
  <c r="G14" i="30"/>
  <c r="F10" i="30"/>
  <c r="V11" i="30"/>
  <c r="N11" i="30"/>
  <c r="J12" i="30"/>
  <c r="Y10" i="30"/>
  <c r="K14" i="30"/>
  <c r="X12" i="30"/>
  <c r="S14" i="30"/>
  <c r="C14" i="30"/>
  <c r="H14" i="30"/>
  <c r="F11" i="30"/>
  <c r="S12" i="30"/>
  <c r="Y12" i="30"/>
  <c r="X11" i="30"/>
  <c r="M10" i="30"/>
  <c r="T12" i="30"/>
  <c r="X13" i="30"/>
  <c r="P14" i="30"/>
  <c r="S13" i="30"/>
  <c r="V13" i="30"/>
  <c r="J11" i="30"/>
  <c r="I11" i="30"/>
  <c r="Q14" i="30"/>
  <c r="E10" i="30"/>
  <c r="W11" i="30"/>
  <c r="N10" i="30"/>
  <c r="F12" i="30"/>
  <c r="M13" i="30"/>
  <c r="P13" i="30"/>
  <c r="I10" i="30"/>
  <c r="L11" i="30"/>
  <c r="Q10" i="30"/>
  <c r="H12" i="30"/>
  <c r="X14" i="30"/>
  <c r="R12" i="30"/>
  <c r="Y13" i="30"/>
  <c r="S10" i="30"/>
  <c r="U14" i="30"/>
  <c r="J10" i="30"/>
  <c r="H11" i="30"/>
  <c r="R13" i="30"/>
  <c r="E13" i="30"/>
  <c r="U13" i="30"/>
  <c r="I14" i="30"/>
  <c r="T11" i="30"/>
  <c r="K11" i="30"/>
  <c r="V14" i="30"/>
  <c r="T13" i="30"/>
  <c r="N12" i="30"/>
  <c r="W13" i="30"/>
  <c r="J13" i="30"/>
  <c r="G11" i="30"/>
  <c r="R14" i="30"/>
  <c r="F13" i="30"/>
  <c r="R11" i="30"/>
  <c r="U11" i="30"/>
  <c r="M14" i="30"/>
  <c r="Q12" i="30"/>
  <c r="W10" i="30"/>
  <c r="I13" i="30"/>
  <c r="K12" i="30"/>
  <c r="K13" i="30"/>
  <c r="L10" i="30"/>
  <c r="G12" i="30"/>
  <c r="Q11" i="30"/>
  <c r="O13" i="30"/>
  <c r="M12" i="30"/>
  <c r="W14" i="30"/>
  <c r="K10" i="30"/>
  <c r="E13" i="19"/>
  <c r="E17" i="19"/>
  <c r="F17" i="19" s="1"/>
  <c r="G17" i="19" s="1"/>
  <c r="H17" i="19" s="1"/>
  <c r="I17" i="19" s="1"/>
  <c r="J17" i="19" s="1"/>
  <c r="K17" i="19" s="1"/>
  <c r="L17" i="19" s="1"/>
  <c r="M17" i="19" s="1"/>
  <c r="N17" i="19" s="1"/>
  <c r="O17" i="19" s="1"/>
  <c r="P17" i="19" s="1"/>
  <c r="Q17" i="19" s="1"/>
  <c r="R17" i="19" s="1"/>
  <c r="S17" i="19" s="1"/>
  <c r="T17" i="19" s="1"/>
  <c r="U17" i="19" s="1"/>
  <c r="V17" i="19" s="1"/>
  <c r="W17" i="19" s="1"/>
  <c r="X17" i="19" s="1"/>
  <c r="E16" i="19"/>
  <c r="F16" i="19" s="1"/>
  <c r="G16" i="19" s="1"/>
  <c r="H16" i="19" s="1"/>
  <c r="I16" i="19" s="1"/>
  <c r="J16" i="19" s="1"/>
  <c r="K16" i="19" s="1"/>
  <c r="L16" i="19" s="1"/>
  <c r="M16" i="19" s="1"/>
  <c r="N16" i="19" s="1"/>
  <c r="O16" i="19" s="1"/>
  <c r="P16" i="19" s="1"/>
  <c r="Q16" i="19" s="1"/>
  <c r="R16" i="19" s="1"/>
  <c r="S16" i="19" s="1"/>
  <c r="T16" i="19" s="1"/>
  <c r="U16" i="19" s="1"/>
  <c r="V16" i="19" s="1"/>
  <c r="W16" i="19" s="1"/>
  <c r="X16" i="19" s="1"/>
  <c r="C19" i="19"/>
  <c r="C20" i="19" l="1"/>
  <c r="E20" i="19" s="1"/>
  <c r="C30" i="15"/>
  <c r="C31" i="15"/>
  <c r="C25" i="19"/>
  <c r="C25" i="30"/>
  <c r="C29" i="30" s="1"/>
  <c r="Y29" i="30" s="1"/>
  <c r="P46" i="30" s="1"/>
  <c r="R46" i="30" s="1"/>
  <c r="T46" i="30" s="1"/>
  <c r="C30" i="30"/>
  <c r="C34" i="30" s="1"/>
  <c r="Y34" i="30" s="1"/>
  <c r="P47" i="30" s="1"/>
  <c r="R47" i="30" s="1"/>
  <c r="F11" i="1"/>
  <c r="F15" i="19"/>
  <c r="Y17" i="19"/>
  <c r="E18" i="19"/>
  <c r="F13" i="19"/>
  <c r="F14" i="19" s="1"/>
  <c r="G10" i="19"/>
  <c r="Y12" i="19"/>
  <c r="Y16" i="19"/>
  <c r="E14" i="19"/>
  <c r="S43" i="30"/>
  <c r="T43" i="30"/>
  <c r="Y11" i="19"/>
  <c r="E21" i="19" l="1"/>
  <c r="F21" i="19" s="1"/>
  <c r="G21" i="19" s="1"/>
  <c r="H21" i="19" s="1"/>
  <c r="I21" i="19" s="1"/>
  <c r="J21" i="19" s="1"/>
  <c r="K21" i="19" s="1"/>
  <c r="L21" i="19" s="1"/>
  <c r="M21" i="19" s="1"/>
  <c r="N21" i="19" s="1"/>
  <c r="O21" i="19" s="1"/>
  <c r="P21" i="19" s="1"/>
  <c r="Q21" i="19" s="1"/>
  <c r="R21" i="19" s="1"/>
  <c r="S21" i="19" s="1"/>
  <c r="T21" i="19" s="1"/>
  <c r="U21" i="19" s="1"/>
  <c r="V21" i="19" s="1"/>
  <c r="W21" i="19" s="1"/>
  <c r="X21" i="19" s="1"/>
  <c r="C24" i="19"/>
  <c r="F20" i="19"/>
  <c r="E22" i="19"/>
  <c r="F22" i="19" s="1"/>
  <c r="G22" i="19" s="1"/>
  <c r="H22" i="19" s="1"/>
  <c r="I22" i="19" s="1"/>
  <c r="J22" i="19" s="1"/>
  <c r="K22" i="19" s="1"/>
  <c r="L22" i="19" s="1"/>
  <c r="M22" i="19" s="1"/>
  <c r="N22" i="19" s="1"/>
  <c r="O22" i="19" s="1"/>
  <c r="P22" i="19" s="1"/>
  <c r="Q22" i="19" s="1"/>
  <c r="R22" i="19" s="1"/>
  <c r="S22" i="19" s="1"/>
  <c r="T22" i="19" s="1"/>
  <c r="U22" i="19" s="1"/>
  <c r="V22" i="19" s="1"/>
  <c r="W22" i="19" s="1"/>
  <c r="X22" i="19" s="1"/>
  <c r="E25" i="19"/>
  <c r="F25" i="19" s="1"/>
  <c r="C29" i="19"/>
  <c r="E26" i="19"/>
  <c r="F26" i="19" s="1"/>
  <c r="G26" i="19" s="1"/>
  <c r="H26" i="19" s="1"/>
  <c r="I26" i="19" s="1"/>
  <c r="J26" i="19" s="1"/>
  <c r="K26" i="19" s="1"/>
  <c r="L26" i="19" s="1"/>
  <c r="M26" i="19" s="1"/>
  <c r="N26" i="19" s="1"/>
  <c r="O26" i="19" s="1"/>
  <c r="P26" i="19" s="1"/>
  <c r="Q26" i="19" s="1"/>
  <c r="R26" i="19" s="1"/>
  <c r="S26" i="19" s="1"/>
  <c r="T26" i="19" s="1"/>
  <c r="U26" i="19" s="1"/>
  <c r="V26" i="19" s="1"/>
  <c r="W26" i="19" s="1"/>
  <c r="X26" i="19" s="1"/>
  <c r="E27" i="19"/>
  <c r="F27" i="19" s="1"/>
  <c r="G27" i="19" s="1"/>
  <c r="H27" i="19" s="1"/>
  <c r="I27" i="19" s="1"/>
  <c r="J27" i="19" s="1"/>
  <c r="K27" i="19" s="1"/>
  <c r="L27" i="19" s="1"/>
  <c r="M27" i="19" s="1"/>
  <c r="N27" i="19" s="1"/>
  <c r="O27" i="19" s="1"/>
  <c r="P27" i="19" s="1"/>
  <c r="Q27" i="19" s="1"/>
  <c r="R27" i="19" s="1"/>
  <c r="S27" i="19" s="1"/>
  <c r="T27" i="19" s="1"/>
  <c r="U27" i="19" s="1"/>
  <c r="V27" i="19" s="1"/>
  <c r="W27" i="19" s="1"/>
  <c r="X27" i="19" s="1"/>
  <c r="S46" i="30"/>
  <c r="T47" i="30"/>
  <c r="S47" i="30"/>
  <c r="G20" i="19"/>
  <c r="F23" i="19"/>
  <c r="F24" i="19" s="1"/>
  <c r="G13" i="19"/>
  <c r="H10" i="19"/>
  <c r="E23" i="19"/>
  <c r="E19" i="19"/>
  <c r="F18" i="19"/>
  <c r="F19" i="19" s="1"/>
  <c r="G15" i="19"/>
  <c r="Y22" i="19" l="1"/>
  <c r="Y21" i="19"/>
  <c r="G25" i="19"/>
  <c r="F28" i="19"/>
  <c r="F29" i="19" s="1"/>
  <c r="E28" i="19"/>
  <c r="Y26" i="19"/>
  <c r="Y27" i="19"/>
  <c r="G18" i="19"/>
  <c r="H15" i="19"/>
  <c r="E24" i="19"/>
  <c r="H13" i="19"/>
  <c r="H14" i="19" s="1"/>
  <c r="I10" i="19"/>
  <c r="G14" i="19"/>
  <c r="G23" i="19"/>
  <c r="G24" i="19" s="1"/>
  <c r="H20" i="19"/>
  <c r="H25" i="19" l="1"/>
  <c r="G28" i="19"/>
  <c r="G29" i="19" s="1"/>
  <c r="E29" i="19"/>
  <c r="H23" i="19"/>
  <c r="H24" i="19" s="1"/>
  <c r="I20" i="19"/>
  <c r="I13" i="19"/>
  <c r="J10" i="19"/>
  <c r="H18" i="19"/>
  <c r="H19" i="19" s="1"/>
  <c r="I15" i="19"/>
  <c r="G19" i="19"/>
  <c r="H28" i="19" l="1"/>
  <c r="I25" i="19"/>
  <c r="I18" i="19"/>
  <c r="J15" i="19"/>
  <c r="J20" i="19"/>
  <c r="I23" i="19"/>
  <c r="K10" i="19"/>
  <c r="J13" i="19"/>
  <c r="J14" i="19" s="1"/>
  <c r="I14" i="19"/>
  <c r="I28" i="19" l="1"/>
  <c r="I29" i="19" s="1"/>
  <c r="J25" i="19"/>
  <c r="H29" i="19"/>
  <c r="J23" i="19"/>
  <c r="J24" i="19" s="1"/>
  <c r="K20" i="19"/>
  <c r="K15" i="19"/>
  <c r="J18" i="19"/>
  <c r="J19" i="19" s="1"/>
  <c r="L10" i="19"/>
  <c r="K13" i="19"/>
  <c r="I19" i="19"/>
  <c r="I24" i="19"/>
  <c r="K25" i="19" l="1"/>
  <c r="J28" i="19"/>
  <c r="J29" i="19" s="1"/>
  <c r="K18" i="19"/>
  <c r="L15" i="19"/>
  <c r="K14" i="19"/>
  <c r="L20" i="19"/>
  <c r="K23" i="19"/>
  <c r="L13" i="19"/>
  <c r="L14" i="19" s="1"/>
  <c r="M10" i="19"/>
  <c r="L25" i="19" l="1"/>
  <c r="K28" i="19"/>
  <c r="L18" i="19"/>
  <c r="L19" i="19" s="1"/>
  <c r="M15" i="19"/>
  <c r="N10" i="19"/>
  <c r="M13" i="19"/>
  <c r="M14" i="19" s="1"/>
  <c r="K24" i="19"/>
  <c r="M20" i="19"/>
  <c r="L23" i="19"/>
  <c r="L24" i="19" s="1"/>
  <c r="K19" i="19"/>
  <c r="L28" i="19" l="1"/>
  <c r="L29" i="19" s="1"/>
  <c r="M25" i="19"/>
  <c r="K29" i="19"/>
  <c r="M23" i="19"/>
  <c r="M24" i="19" s="1"/>
  <c r="N20" i="19"/>
  <c r="O10" i="19"/>
  <c r="N13" i="19"/>
  <c r="N14" i="19" s="1"/>
  <c r="N15" i="19"/>
  <c r="M18" i="19"/>
  <c r="M19" i="19" s="1"/>
  <c r="N25" i="19" l="1"/>
  <c r="M28" i="19"/>
  <c r="M29" i="19" s="1"/>
  <c r="O13" i="19"/>
  <c r="O14" i="19" s="1"/>
  <c r="P10" i="19"/>
  <c r="N23" i="19"/>
  <c r="N24" i="19" s="1"/>
  <c r="O20" i="19"/>
  <c r="O15" i="19"/>
  <c r="N18" i="19"/>
  <c r="N19" i="19" s="1"/>
  <c r="N28" i="19" l="1"/>
  <c r="N29" i="19" s="1"/>
  <c r="O25" i="19"/>
  <c r="Q10" i="19"/>
  <c r="P13" i="19"/>
  <c r="P14" i="19" s="1"/>
  <c r="O23" i="19"/>
  <c r="O24" i="19" s="1"/>
  <c r="P20" i="19"/>
  <c r="O18" i="19"/>
  <c r="O19" i="19" s="1"/>
  <c r="P15" i="19"/>
  <c r="O28" i="19" l="1"/>
  <c r="O29" i="19" s="1"/>
  <c r="P25" i="19"/>
  <c r="Q20" i="19"/>
  <c r="P23" i="19"/>
  <c r="P24" i="19" s="1"/>
  <c r="Q15" i="19"/>
  <c r="P18" i="19"/>
  <c r="P19" i="19" s="1"/>
  <c r="R10" i="19"/>
  <c r="Q13" i="19"/>
  <c r="Q14" i="19" s="1"/>
  <c r="Q25" i="19" l="1"/>
  <c r="P28" i="19"/>
  <c r="P29" i="19" s="1"/>
  <c r="Q18" i="19"/>
  <c r="Q19" i="19" s="1"/>
  <c r="R15" i="19"/>
  <c r="S10" i="19"/>
  <c r="R13" i="19"/>
  <c r="R14" i="19" s="1"/>
  <c r="Q23" i="19"/>
  <c r="Q24" i="19" s="1"/>
  <c r="R20" i="19"/>
  <c r="Q28" i="19" l="1"/>
  <c r="Q29" i="19" s="1"/>
  <c r="R25" i="19"/>
  <c r="S13" i="19"/>
  <c r="S14" i="19" s="1"/>
  <c r="T10" i="19"/>
  <c r="R23" i="19"/>
  <c r="R24" i="19" s="1"/>
  <c r="S20" i="19"/>
  <c r="R18" i="19"/>
  <c r="R19" i="19" s="1"/>
  <c r="S15" i="19"/>
  <c r="R28" i="19" l="1"/>
  <c r="R29" i="19" s="1"/>
  <c r="S25" i="19"/>
  <c r="S23" i="19"/>
  <c r="S24" i="19" s="1"/>
  <c r="T20" i="19"/>
  <c r="T15" i="19"/>
  <c r="S18" i="19"/>
  <c r="S19" i="19" s="1"/>
  <c r="U10" i="19"/>
  <c r="T13" i="19"/>
  <c r="T14" i="19" s="1"/>
  <c r="T25" i="19" l="1"/>
  <c r="S28" i="19"/>
  <c r="S29" i="19" s="1"/>
  <c r="U15" i="19"/>
  <c r="T18" i="19"/>
  <c r="T19" i="19" s="1"/>
  <c r="T23" i="19"/>
  <c r="T24" i="19" s="1"/>
  <c r="U20" i="19"/>
  <c r="U13" i="19"/>
  <c r="U14" i="19" s="1"/>
  <c r="V10" i="19"/>
  <c r="T28" i="19" l="1"/>
  <c r="T29" i="19" s="1"/>
  <c r="U25" i="19"/>
  <c r="V13" i="19"/>
  <c r="V14" i="19" s="1"/>
  <c r="W10" i="19"/>
  <c r="V20" i="19"/>
  <c r="U23" i="19"/>
  <c r="U24" i="19" s="1"/>
  <c r="U18" i="19"/>
  <c r="U19" i="19" s="1"/>
  <c r="V15" i="19"/>
  <c r="U28" i="19" l="1"/>
  <c r="U29" i="19" s="1"/>
  <c r="V25" i="19"/>
  <c r="W20" i="19"/>
  <c r="V23" i="19"/>
  <c r="V24" i="19" s="1"/>
  <c r="W15" i="19"/>
  <c r="V18" i="19"/>
  <c r="V19" i="19" s="1"/>
  <c r="X10" i="19"/>
  <c r="W13" i="19"/>
  <c r="W14" i="19" s="1"/>
  <c r="W25" i="19" l="1"/>
  <c r="V28" i="19"/>
  <c r="V29" i="19" s="1"/>
  <c r="W18" i="19"/>
  <c r="W19" i="19" s="1"/>
  <c r="X15" i="19"/>
  <c r="X13" i="19"/>
  <c r="Y13" i="19" s="1"/>
  <c r="Y10" i="19"/>
  <c r="X20" i="19"/>
  <c r="W23" i="19"/>
  <c r="W24" i="19" s="1"/>
  <c r="X25" i="19" l="1"/>
  <c r="W28" i="19"/>
  <c r="W29" i="19" s="1"/>
  <c r="X14" i="19"/>
  <c r="Y14" i="19" s="1"/>
  <c r="M28" i="15" s="1"/>
  <c r="X18" i="19"/>
  <c r="Y15" i="19"/>
  <c r="X23" i="19"/>
  <c r="Y20" i="19"/>
  <c r="X28" i="19" l="1"/>
  <c r="Y25" i="19"/>
  <c r="X19" i="19"/>
  <c r="Y19" i="19" s="1"/>
  <c r="Y18" i="19"/>
  <c r="X24" i="19"/>
  <c r="Y24" i="19" s="1"/>
  <c r="Y23" i="19"/>
  <c r="P38" i="19"/>
  <c r="R38" i="19" s="1"/>
  <c r="X29" i="19" l="1"/>
  <c r="Y29" i="19" s="1"/>
  <c r="Y28" i="19"/>
  <c r="P40" i="19"/>
  <c r="R40" i="19" s="1"/>
  <c r="M30" i="15"/>
  <c r="T38" i="19"/>
  <c r="S38" i="19"/>
  <c r="P39" i="19"/>
  <c r="R39" i="19" s="1"/>
  <c r="M29" i="15"/>
  <c r="P41" i="19" l="1"/>
  <c r="R41" i="19" s="1"/>
  <c r="M31" i="15"/>
  <c r="O31" i="15" s="1"/>
  <c r="S39" i="19"/>
  <c r="T39" i="19"/>
  <c r="T40" i="19"/>
  <c r="S40" i="19"/>
  <c r="O28" i="15" l="1"/>
  <c r="C33" i="15" s="1"/>
  <c r="O29" i="15"/>
  <c r="O30" i="15"/>
  <c r="S41" i="19"/>
  <c r="T41" i="19"/>
</calcChain>
</file>

<file path=xl/sharedStrings.xml><?xml version="1.0" encoding="utf-8"?>
<sst xmlns="http://schemas.openxmlformats.org/spreadsheetml/2006/main" count="831" uniqueCount="417">
  <si>
    <t>Geothermal Standing Column</t>
  </si>
  <si>
    <t>Geothermal Closed Loop</t>
  </si>
  <si>
    <t>Geothermal Open Loop</t>
  </si>
  <si>
    <t>Life Expectancy - Low</t>
  </si>
  <si>
    <t>Life Expectancy - High</t>
  </si>
  <si>
    <t xml:space="preserve">Baseline HVAC Systems Types </t>
  </si>
  <si>
    <t>Building Type</t>
  </si>
  <si>
    <t>System No.</t>
  </si>
  <si>
    <t>System Type</t>
  </si>
  <si>
    <t>Fan Control</t>
  </si>
  <si>
    <t>Cooling Type</t>
  </si>
  <si>
    <t>Heating Type</t>
  </si>
  <si>
    <t>Direct Expansion</t>
  </si>
  <si>
    <t>Chilled Water</t>
  </si>
  <si>
    <r>
      <t>Nonresidential and More than 5 Floors or &gt; 150,000 ft</t>
    </r>
    <r>
      <rPr>
        <sz val="11"/>
        <color theme="1"/>
        <rFont val="Calibri"/>
        <family val="2"/>
      </rPr>
      <t>²</t>
    </r>
  </si>
  <si>
    <r>
      <t>Nonresidential and 4 or 5 Floors and &lt; 25,000 ft</t>
    </r>
    <r>
      <rPr>
        <sz val="11"/>
        <color theme="1"/>
        <rFont val="Calibri"/>
        <family val="2"/>
      </rPr>
      <t>² or
5 Floor or Less and 25,000 ft² to 150,000 ft²</t>
    </r>
  </si>
  <si>
    <t>System 5-Packaged VAV with Reheat</t>
  </si>
  <si>
    <t>System 7-VAV with Reheat</t>
  </si>
  <si>
    <t>Packaged Rooftop VAV with Reheat</t>
  </si>
  <si>
    <t>VAV</t>
  </si>
  <si>
    <t>Hot-water fossil fuel boiler</t>
  </si>
  <si>
    <t>Year</t>
  </si>
  <si>
    <t>Dollar value per metric ton of carbon dioxide equivalent</t>
  </si>
  <si>
    <t>Type of Systems Studied</t>
  </si>
  <si>
    <t>Equipment Type</t>
  </si>
  <si>
    <t>Air-cooled chillers</t>
  </si>
  <si>
    <t>Size Category</t>
  </si>
  <si>
    <t>&lt; 150 tons</t>
  </si>
  <si>
    <t>≥ 150 tons</t>
  </si>
  <si>
    <t>Path A</t>
  </si>
  <si>
    <t>Path B</t>
  </si>
  <si>
    <t>≥ 10.100 FL
≥ 13.700 IPLV</t>
  </si>
  <si>
    <t>≥ 10.100 FL
≥ 14.000 IPLV</t>
  </si>
  <si>
    <t>≥ 9.700 FL
≥ 15.800 IPLV</t>
  </si>
  <si>
    <t>≥ 9.700 FL
≥ 16.100 IPLV</t>
  </si>
  <si>
    <t>Minimum Efficiency</t>
  </si>
  <si>
    <t>Units</t>
  </si>
  <si>
    <t>EER</t>
  </si>
  <si>
    <t>Geothermal System</t>
  </si>
  <si>
    <t>Standing Column Well</t>
  </si>
  <si>
    <t>Closed Loop</t>
  </si>
  <si>
    <t>Open Loop</t>
  </si>
  <si>
    <t>Geological and Technical Suitability (Yes/No)</t>
  </si>
  <si>
    <t>Full System Feasibility (Yes/No)</t>
  </si>
  <si>
    <t>Carbon Footprint Reduction (Tons CO2e)</t>
  </si>
  <si>
    <t>Annual Cost of Carbon ($)</t>
  </si>
  <si>
    <t>Building Site Information</t>
  </si>
  <si>
    <t>No. of Floors</t>
  </si>
  <si>
    <t>Utility Rates</t>
  </si>
  <si>
    <t>ft for drilling</t>
  </si>
  <si>
    <t>ft for casing</t>
  </si>
  <si>
    <t>ft for pipe and grout</t>
  </si>
  <si>
    <t>ft minimum casing</t>
  </si>
  <si>
    <t>ft maximum casing</t>
  </si>
  <si>
    <t>tons per well</t>
  </si>
  <si>
    <t>Electricity</t>
  </si>
  <si>
    <t>-</t>
  </si>
  <si>
    <t>Project Name</t>
  </si>
  <si>
    <t>Project Address</t>
  </si>
  <si>
    <r>
      <t>Building Area (ft</t>
    </r>
    <r>
      <rPr>
        <b/>
        <sz val="11"/>
        <color theme="1"/>
        <rFont val="Calibri"/>
        <family val="2"/>
      </rPr>
      <t>²)</t>
    </r>
  </si>
  <si>
    <t>Heating and Cooling System Cost  - Low ($/ft²)</t>
  </si>
  <si>
    <t>Heating and Cooling System Cost - Low ($)</t>
  </si>
  <si>
    <t>Heating and Cooling System Cost - High ($/ft²)</t>
  </si>
  <si>
    <t>Heating and Cooling System Cost - High ($)</t>
  </si>
  <si>
    <t>System Cooling Capacity (tons)</t>
  </si>
  <si>
    <t>System Heating Capacity (Btu/h)</t>
  </si>
  <si>
    <t>Well Field Cost - Low ($)</t>
  </si>
  <si>
    <t>Well Field Cost - High ($)</t>
  </si>
  <si>
    <t>Number of Wells</t>
  </si>
  <si>
    <t>Total Heating and Cooling System Cost - Low ($)</t>
  </si>
  <si>
    <t>Total Heating and Cooling System Cost - Low ($/ft²)</t>
  </si>
  <si>
    <t>Total Heating and Cooling System Cost - High ($)</t>
  </si>
  <si>
    <t>Total Heating and Cooling System Cost - High ($/ft²)</t>
  </si>
  <si>
    <t>Efficiency Unit</t>
  </si>
  <si>
    <t>COP</t>
  </si>
  <si>
    <t>eQuest Heating System Efficiency</t>
  </si>
  <si>
    <t>Cooling Electricity Usage
(kWh/yr)</t>
  </si>
  <si>
    <t>Heating Electricity Usage
(kWh/yr)</t>
  </si>
  <si>
    <t>Cooling Demand
(kW/yr)</t>
  </si>
  <si>
    <t>Heating Demand
(kW/yr)</t>
  </si>
  <si>
    <t>Cooling Electric Demand (kW/yr)</t>
  </si>
  <si>
    <t>Heating Electric Demand (kW/yr)</t>
  </si>
  <si>
    <t>Jan</t>
  </si>
  <si>
    <t>Feb</t>
  </si>
  <si>
    <t>March</t>
  </si>
  <si>
    <t>April</t>
  </si>
  <si>
    <t>May</t>
  </si>
  <si>
    <t>June</t>
  </si>
  <si>
    <t>July</t>
  </si>
  <si>
    <t>Aug</t>
  </si>
  <si>
    <t>Sept</t>
  </si>
  <si>
    <t>Oct</t>
  </si>
  <si>
    <t>Nov</t>
  </si>
  <si>
    <t>Dec</t>
  </si>
  <si>
    <t>Peak Demand</t>
  </si>
  <si>
    <t>https://portfoliomanager.energystar.gov/pdf/reference/Emissions.pdf</t>
  </si>
  <si>
    <t>Heat Pumps</t>
  </si>
  <si>
    <t>metric ton/kg</t>
  </si>
  <si>
    <t>Well Water Delta T</t>
  </si>
  <si>
    <t>% Load</t>
  </si>
  <si>
    <t>kW/ton</t>
  </si>
  <si>
    <t>kW</t>
  </si>
  <si>
    <t>kWh</t>
  </si>
  <si>
    <t>95 to 100</t>
  </si>
  <si>
    <t>90 to 95</t>
  </si>
  <si>
    <t>85 to 90</t>
  </si>
  <si>
    <t>80 to 85</t>
  </si>
  <si>
    <t>75 to 80</t>
  </si>
  <si>
    <t>70 to 75</t>
  </si>
  <si>
    <t>65 to 70</t>
  </si>
  <si>
    <t>60 to 65</t>
  </si>
  <si>
    <t>55 to 60</t>
  </si>
  <si>
    <t>50 to 55</t>
  </si>
  <si>
    <t>45 to 50</t>
  </si>
  <si>
    <t>40 to 45</t>
  </si>
  <si>
    <t>35 to 40</t>
  </si>
  <si>
    <t>30 to 35</t>
  </si>
  <si>
    <t>25 to 30</t>
  </si>
  <si>
    <t>20 to 25</t>
  </si>
  <si>
    <t>15 to 20</t>
  </si>
  <si>
    <t>10 to 15</t>
  </si>
  <si>
    <t>5 to 10</t>
  </si>
  <si>
    <t>0 to 5</t>
  </si>
  <si>
    <t>Total Annual</t>
  </si>
  <si>
    <t>tons</t>
  </si>
  <si>
    <t>Min $/ft</t>
  </si>
  <si>
    <t>Max $/ft</t>
  </si>
  <si>
    <t>Well Drilling (500ft max wells)</t>
  </si>
  <si>
    <t>Installing Casing</t>
  </si>
  <si>
    <t>SDR11 Piping</t>
  </si>
  <si>
    <t>Well Grouting</t>
  </si>
  <si>
    <r>
      <t xml:space="preserve">Well Field Costing
</t>
    </r>
    <r>
      <rPr>
        <i/>
        <sz val="10"/>
        <color theme="8"/>
        <rFont val="Arial"/>
        <family val="2"/>
      </rPr>
      <t>(Reference: Connecticut Wells)</t>
    </r>
  </si>
  <si>
    <t>Tons per well</t>
  </si>
  <si>
    <t>Cost per ton</t>
  </si>
  <si>
    <t>Cost per well</t>
  </si>
  <si>
    <t>Well Depth</t>
  </si>
  <si>
    <t>Casing depth</t>
  </si>
  <si>
    <t>Potential Capacity (Tons)</t>
  </si>
  <si>
    <t>Is a Geothermal Feasibility Study Required</t>
  </si>
  <si>
    <t>System Life Expectancy</t>
  </si>
  <si>
    <t>Is a Geothermal System Required</t>
  </si>
  <si>
    <t>https://www1.nyc.gov/assets/ddc/geothermal/geothermalTool.html</t>
  </si>
  <si>
    <t>1. Bin Data based on Central park Weather File</t>
  </si>
  <si>
    <t>Notes:</t>
  </si>
  <si>
    <t xml:space="preserve"> Total Mode</t>
  </si>
  <si>
    <t>Heating Total</t>
  </si>
  <si>
    <t>MBH</t>
  </si>
  <si>
    <t>Total Heating Energy</t>
  </si>
  <si>
    <t>Unoccupied Heating Load</t>
  </si>
  <si>
    <t>Occupied Heating Load</t>
  </si>
  <si>
    <t>Cooling Total</t>
  </si>
  <si>
    <t>Tons</t>
  </si>
  <si>
    <t>Total Cooling Energy</t>
  </si>
  <si>
    <t>Unoccupied Cooling Load</t>
  </si>
  <si>
    <t>Occupied Cooling Load</t>
  </si>
  <si>
    <t>Occupied Cooling load</t>
  </si>
  <si>
    <t>sqft</t>
  </si>
  <si>
    <t>Building Area</t>
  </si>
  <si>
    <t>Input Table</t>
  </si>
  <si>
    <t>Incremental Annual Maintenance Cost - Low ($/ton-hours)</t>
  </si>
  <si>
    <t>Incremental Annual Maintenance Cost - Low ($)</t>
  </si>
  <si>
    <t>Incremental Annual Maintenance Cost - High ($/ton-hours)</t>
  </si>
  <si>
    <t>Incremental Annual Maintenance Cost - High ($)</t>
  </si>
  <si>
    <t>% Demand</t>
  </si>
  <si>
    <t>Total Plant Electric Demand (kW/yr)</t>
  </si>
  <si>
    <t>Occupied Well Pumps</t>
  </si>
  <si>
    <t>Unoccupied Well Pumps</t>
  </si>
  <si>
    <t xml:space="preserve">Occupied Heating Load </t>
  </si>
  <si>
    <t>KW</t>
  </si>
  <si>
    <t>BTU/KW</t>
  </si>
  <si>
    <t xml:space="preserve">Unoccupied Heating Load </t>
  </si>
  <si>
    <t>2. Geo Options Assume Variable Flow Well Water System</t>
  </si>
  <si>
    <t xml:space="preserve"> Btus/therm</t>
  </si>
  <si>
    <t>Total Plant Electricity 
(Btu/yr)</t>
  </si>
  <si>
    <t>Closed Loop Cooling Plant</t>
  </si>
  <si>
    <t>Closed Loop Heating Plant</t>
  </si>
  <si>
    <t>Total HVAC Plant
Site Energy
(kBtu/sqft/yr)</t>
  </si>
  <si>
    <t>Maximum Hot Water Pumps
(W/gpm)</t>
  </si>
  <si>
    <t>Maximum CHW Pumps
(W/gpm)</t>
  </si>
  <si>
    <t>Maximum CW Pumps
(W/gpm)</t>
  </si>
  <si>
    <t>Maximum Well Field Pumps
(W/gpm)</t>
  </si>
  <si>
    <t>NYC Geothermal Pre-feasibility Tool:</t>
  </si>
  <si>
    <t>per ton (Min.)</t>
  </si>
  <si>
    <t>per ton (Max.)</t>
  </si>
  <si>
    <t>Baseline Parameters</t>
  </si>
  <si>
    <t>Standing Column/ Open Loop Heating Plant</t>
  </si>
  <si>
    <t>Standing Column/ Open Loop Cooling Plant</t>
  </si>
  <si>
    <t>Notes:
1.  Significant or total casing required where ground is mainly sand (Majority of Queens, Brooklyn, Staten Island)
2.  Minimal casing required where ground is mainly bedrock (portions of the Bronx and portions of Manhattan)</t>
  </si>
  <si>
    <t>Net Const. Cost</t>
  </si>
  <si>
    <t>Present Value</t>
  </si>
  <si>
    <t>Total</t>
  </si>
  <si>
    <t>Closed Loop HVAC Plant</t>
  </si>
  <si>
    <t>Closed Ground Loop</t>
  </si>
  <si>
    <t>Utility Escalation</t>
  </si>
  <si>
    <t>Maintenance Escalation</t>
  </si>
  <si>
    <t>Discount/ Interest Rate</t>
  </si>
  <si>
    <t>Standing Column HVAC Plant</t>
  </si>
  <si>
    <t>Open Loop HVAC Plant</t>
  </si>
  <si>
    <t>NPV</t>
  </si>
  <si>
    <t>Cost of Carbon Escalation</t>
  </si>
  <si>
    <t>Utility Cost</t>
  </si>
  <si>
    <t>Maintenance Cost</t>
  </si>
  <si>
    <t>Carbon Cost</t>
  </si>
  <si>
    <t>Total Annual Cost</t>
  </si>
  <si>
    <t>SCA Geothermal Feasibility Tool Instructions:</t>
  </si>
  <si>
    <t>Baseline Heating System Type</t>
  </si>
  <si>
    <t>Source Wells, Injection Wells, Heat Exchangers,  Filtration System</t>
  </si>
  <si>
    <r>
      <t>Cooling Load
(ft</t>
    </r>
    <r>
      <rPr>
        <b/>
        <sz val="11"/>
        <color theme="0"/>
        <rFont val="Calibri"/>
        <family val="2"/>
      </rPr>
      <t>²/ton)</t>
    </r>
  </si>
  <si>
    <t>F</t>
  </si>
  <si>
    <t>Hours</t>
  </si>
  <si>
    <t>Occupied Schedule</t>
  </si>
  <si>
    <t>Unoccupied Schedule</t>
  </si>
  <si>
    <t>Dry Bulb Temp</t>
  </si>
  <si>
    <t>Midpoint Temp</t>
  </si>
  <si>
    <r>
      <t>Total Demand
(kW/ft</t>
    </r>
    <r>
      <rPr>
        <b/>
        <sz val="11"/>
        <color theme="0"/>
        <rFont val="Calibri"/>
        <family val="2"/>
      </rPr>
      <t>²/yr)</t>
    </r>
  </si>
  <si>
    <t>BIN Analysis Cooling Data</t>
  </si>
  <si>
    <t>BIN Analysis Heating Data</t>
  </si>
  <si>
    <r>
      <t xml:space="preserve">NYC Closed Loop Well Field Costing
</t>
    </r>
    <r>
      <rPr>
        <b/>
        <i/>
        <sz val="11"/>
        <color theme="0"/>
        <rFont val="Calibri"/>
        <family val="2"/>
        <scheme val="minor"/>
      </rPr>
      <t>(Reference: Boyd Wells)</t>
    </r>
  </si>
  <si>
    <t>Economic Analysis Assumptions</t>
  </si>
  <si>
    <t>Low Net Present Value Analysis</t>
  </si>
  <si>
    <t>Annual Costs</t>
  </si>
  <si>
    <t>Initial Costs</t>
  </si>
  <si>
    <t>High Net Present Value Analysis</t>
  </si>
  <si>
    <t>Peak Cooling Load (Tons)</t>
  </si>
  <si>
    <t>Peak Cooling Well Water Flow (GPM)</t>
  </si>
  <si>
    <t>Peak Cooling Well Water Pumping (kW)</t>
  </si>
  <si>
    <t>Peak Heating Well Water Flow (GPM)</t>
  </si>
  <si>
    <t>Peak Heating Well Water Pumping (kW)</t>
  </si>
  <si>
    <t>Assumptions</t>
  </si>
  <si>
    <t>Data based on ASHRAE 90.1 - 2010, Table G3.1.1A/B</t>
  </si>
  <si>
    <t>Data based on 2016 NYC Energy Conservation Code</t>
  </si>
  <si>
    <t>Conversion:</t>
  </si>
  <si>
    <r>
      <t>Building Area (ft</t>
    </r>
    <r>
      <rPr>
        <b/>
        <sz val="11"/>
        <color theme="0"/>
        <rFont val="Calibri"/>
        <family val="2"/>
      </rPr>
      <t>²)</t>
    </r>
  </si>
  <si>
    <t>Total Annual Demand 
(for cost purposes)</t>
  </si>
  <si>
    <t>Wells, Heat Exchangers, Filtration System</t>
  </si>
  <si>
    <t>Water Cooled Chiller Cooling Tower Fan (gpm/HP)</t>
  </si>
  <si>
    <t>(Low)</t>
  </si>
  <si>
    <t>(High)</t>
  </si>
  <si>
    <t>Based on SCA sample eQuest model</t>
  </si>
  <si>
    <t>Cooling Systems</t>
  </si>
  <si>
    <t>Heating Systems</t>
  </si>
  <si>
    <t>Geothermal Systems</t>
  </si>
  <si>
    <t>Open Loop/ Standing Column</t>
  </si>
  <si>
    <t>No</t>
  </si>
  <si>
    <t>Yes</t>
  </si>
  <si>
    <t>Annual Energy Savings Over Air Cooled Chiller ($/yr)</t>
  </si>
  <si>
    <r>
      <t>Heating Load
(Btuh/ft</t>
    </r>
    <r>
      <rPr>
        <b/>
        <sz val="11"/>
        <color theme="0"/>
        <rFont val="Calibri"/>
        <family val="2"/>
      </rPr>
      <t>²)</t>
    </r>
  </si>
  <si>
    <t>Cooling Electricity Usage 
(kBtu/sqft/yr)</t>
  </si>
  <si>
    <t>Heating Electricity Usage
(kBtu/sqft/yr)</t>
  </si>
  <si>
    <t>Heating Load (MBH)</t>
  </si>
  <si>
    <t>Pump Power Requirements</t>
  </si>
  <si>
    <t>Cooling Load 
(tons)</t>
  </si>
  <si>
    <t>Low</t>
  </si>
  <si>
    <t>High</t>
  </si>
  <si>
    <t>Capital Cost Estimate (Plant)</t>
  </si>
  <si>
    <t>Yearly Maintenance Cost</t>
  </si>
  <si>
    <t>Net Present Value</t>
  </si>
  <si>
    <t>Lowest Net Present Value?</t>
  </si>
  <si>
    <t>K067</t>
  </si>
  <si>
    <t>51 St. Edwards St.</t>
  </si>
  <si>
    <t>kBtu</t>
  </si>
  <si>
    <t>Total Occupied Cooling Energy</t>
  </si>
  <si>
    <t>Total Unoccupied Cooling Energy</t>
  </si>
  <si>
    <t>Total Occupied Heating Energy</t>
  </si>
  <si>
    <t>Total Unoccupied Heating Energy</t>
  </si>
  <si>
    <t>Baseline System (Air-Cooled)
Site</t>
  </si>
  <si>
    <t>Baseline System (Water-Cooled) 
Site</t>
  </si>
  <si>
    <t>Closed Loop 
Site</t>
  </si>
  <si>
    <t>Standing Column/Open Loop 
Site</t>
  </si>
  <si>
    <t>Baseline System (Air-Cooled) 
Source</t>
  </si>
  <si>
    <t>Baseline System (Water-Cooled) 
Source</t>
  </si>
  <si>
    <t>Closed Loop 
Source</t>
  </si>
  <si>
    <t>Standing Column/Open Loop 
Source</t>
  </si>
  <si>
    <t>Closed Loop
Site</t>
  </si>
  <si>
    <t>Standing Column/Open Loop
Site</t>
  </si>
  <si>
    <t>Closed Loop
Source</t>
  </si>
  <si>
    <t>Standing Column/Open Loop
Source</t>
  </si>
  <si>
    <t>Baseline System (HW Condensing Boiler)
Site</t>
  </si>
  <si>
    <t>Baseline System (HW Condensing Boilers)
Source</t>
  </si>
  <si>
    <t>PV Annual kWh/kW</t>
  </si>
  <si>
    <r>
      <t>PV kW/ft</t>
    </r>
    <r>
      <rPr>
        <b/>
        <sz val="11"/>
        <color theme="0"/>
        <rFont val="Calibri"/>
        <family val="2"/>
      </rPr>
      <t>²</t>
    </r>
  </si>
  <si>
    <t xml:space="preserve">https://www.nrel.gov/docs/fy04osti/35297.pdf  </t>
  </si>
  <si>
    <t xml:space="preserve">https://www.solar-estimate.org/news/2018-04-10-how-many-square-feet-do-you-need-and-how-much-electricity-will-it-produce  </t>
  </si>
  <si>
    <r>
      <t>Size of PV to Offset Annual Cooling Electric Consumption 
(ft</t>
    </r>
    <r>
      <rPr>
        <b/>
        <sz val="11"/>
        <color theme="0"/>
        <rFont val="Calibri"/>
        <family val="2"/>
      </rPr>
      <t>²)</t>
    </r>
  </si>
  <si>
    <r>
      <t>Size of PV to Offset Annual Heating Electric Consumption 
(ft</t>
    </r>
    <r>
      <rPr>
        <b/>
        <sz val="11"/>
        <color theme="0"/>
        <rFont val="Calibri"/>
        <family val="2"/>
      </rPr>
      <t>²)</t>
    </r>
  </si>
  <si>
    <t>kW of PV to Offset Annual Heating Electric Consumption</t>
  </si>
  <si>
    <t>SCA Standard HVAC (air-cooled chiller/HW cond. boiler)</t>
  </si>
  <si>
    <t>SCA Standard HVAC (water-cooled chiller/HW cond. boiler)</t>
  </si>
  <si>
    <t>SCA Standard HVAC Plant
(air-cooled chiller/HW cond. boiler)</t>
  </si>
  <si>
    <t>SCA Standard HVAC Plant
(water-cooled chiller/HW cond. boiler)</t>
  </si>
  <si>
    <t>Total Electricity Usage (kWh/yr)</t>
  </si>
  <si>
    <t>kW of PV to Offset Total Annual Electric Consumption</t>
  </si>
  <si>
    <r>
      <t>Size of PV to Offset Total Annual Electric Consumption
(ft</t>
    </r>
    <r>
      <rPr>
        <b/>
        <sz val="11"/>
        <color theme="0"/>
        <rFont val="Calibri"/>
        <family val="2"/>
      </rPr>
      <t>²)</t>
    </r>
  </si>
  <si>
    <t>Median</t>
  </si>
  <si>
    <t>% Diff Low</t>
  </si>
  <si>
    <t>% Diff High</t>
  </si>
  <si>
    <t xml:space="preserve">Note: PV baseline heating plant (gas-fired condensing boilers) only includes offsetting electrical usage for burner and pump energy and does not account for gas consumption.
References:
</t>
  </si>
  <si>
    <t>Peak Occupied Heating Load (MBH)</t>
  </si>
  <si>
    <t>Peak Unoccupied Heating Load (MBH)</t>
  </si>
  <si>
    <t>Unoccupied Heating Well Water Pumping (GPM)</t>
  </si>
  <si>
    <t>Unoccupied Heating Well Water Pumping (kW)</t>
  </si>
  <si>
    <t>32°F entering water</t>
  </si>
  <si>
    <t>Parameter</t>
  </si>
  <si>
    <t>Parameter / Type of Systems Studied</t>
  </si>
  <si>
    <t>Cooling Energy Costs</t>
  </si>
  <si>
    <t>Heating Energy Costs</t>
  </si>
  <si>
    <t>Electric Usage 
($/yr)</t>
  </si>
  <si>
    <t>Electric Demand
($/yr)</t>
  </si>
  <si>
    <t>Electric Demand 
($/yr)</t>
  </si>
  <si>
    <t>1) Fill in the building site information under the Summary tab.</t>
  </si>
  <si>
    <t>To</t>
  </si>
  <si>
    <t>30% glycol factor</t>
  </si>
  <si>
    <t>Air cooled</t>
  </si>
  <si>
    <t>Peak</t>
  </si>
  <si>
    <t>IPLV</t>
  </si>
  <si>
    <t>Water Cooled</t>
  </si>
  <si>
    <t>ASHRAE 2013 path A for chillers after January 01, 2015</t>
  </si>
  <si>
    <t>https://portfoliomanager.energystar.gov/pdf/reference/Source%20Energy.pdf</t>
  </si>
  <si>
    <t>Heating &amp; Cooling Energy Costs</t>
  </si>
  <si>
    <t>Annual Blended Rate ($/kWh)</t>
  </si>
  <si>
    <t>($/sqft/yr)</t>
  </si>
  <si>
    <t>($/yr)</t>
  </si>
  <si>
    <t>Table A: Building Site Information</t>
  </si>
  <si>
    <t>Table B: Utility Rates</t>
  </si>
  <si>
    <t>Table C: SCA Standard HVAC Baseline System</t>
  </si>
  <si>
    <r>
      <t xml:space="preserve">NYC Open Loop Well Field Costing
</t>
    </r>
    <r>
      <rPr>
        <b/>
        <i/>
        <sz val="11"/>
        <color theme="0"/>
        <rFont val="Calibri"/>
        <family val="2"/>
        <scheme val="minor"/>
      </rPr>
      <t>(Reference: Industry Experience)</t>
    </r>
  </si>
  <si>
    <t>Table 1: SCA Geothermal Feasibility Tool Results</t>
  </si>
  <si>
    <t>Table 2: SCA Geothermal Feasibility Tool Results Continued</t>
  </si>
  <si>
    <t>Table 3: SCA Geothermal Feasibility Study Results</t>
  </si>
  <si>
    <t>kW of PV to Offset Annual Cooling Electric Consumption</t>
  </si>
  <si>
    <t>Cost of Carbon (Site Cost)</t>
  </si>
  <si>
    <t>Cost of Carbon 
(Year)</t>
  </si>
  <si>
    <r>
      <t>Lot Area (ft</t>
    </r>
    <r>
      <rPr>
        <b/>
        <sz val="11"/>
        <color theme="1"/>
        <rFont val="Calibri"/>
        <family val="2"/>
      </rPr>
      <t>²)</t>
    </r>
  </si>
  <si>
    <t>Depth to Bedrock (ft)</t>
  </si>
  <si>
    <t>3) Complete Table 1 under the Input tab by using the NYC Geothermal Feasibility Tool found in the link provided under the Summary tab.</t>
  </si>
  <si>
    <t>6) Enter inputs in cells throughout the tool where cells are shaded:</t>
  </si>
  <si>
    <t>7) Under the SCA Standard HVAC Baseline Systems, enter the "actual" cooling system and heating system peak loads, assuming redundancy per SCA standards, not equipment cooling/heating sizes. For new buildings and existing buildings undergoing Major Modernization projects that require new HVAC systems for perimeter heating, gas fired condensing boilers shall be provided with the same redundant capacity as conventional boilers (i.e. two at 75% capacity or three each at 40% capacity) based on total connected capacity.</t>
  </si>
  <si>
    <t xml:space="preserve">2) Enter inputs in cells throughout the tool where cells are shaded: </t>
  </si>
  <si>
    <t>Per 1500 ft deep well (Min.)</t>
  </si>
  <si>
    <t>Per 1500 ft deep well (Max.)</t>
  </si>
  <si>
    <r>
      <t xml:space="preserve">NYC Standing Column Well Field Costing
</t>
    </r>
    <r>
      <rPr>
        <b/>
        <i/>
        <sz val="11"/>
        <color theme="0"/>
        <rFont val="Calibri"/>
        <family val="2"/>
        <scheme val="minor"/>
      </rPr>
      <t>(Reference: Industry Experience)</t>
    </r>
  </si>
  <si>
    <t>HX/ Pumps/ piping per well (Min.)</t>
  </si>
  <si>
    <t>Filtration per well (Min.)</t>
  </si>
  <si>
    <t>Filtration per well (Max.)</t>
  </si>
  <si>
    <t>Hx/ Pumps/ piping per well (Max.)</t>
  </si>
  <si>
    <t>CO2 Emissions
(kg)</t>
  </si>
  <si>
    <t>CO2 Emissions
(metric tons)</t>
  </si>
  <si>
    <t>max tons per well</t>
  </si>
  <si>
    <t>min tons per well</t>
  </si>
  <si>
    <t>per ft for drilling</t>
  </si>
  <si>
    <t>per ft for casing</t>
  </si>
  <si>
    <t>per ft for pipe and grout</t>
  </si>
  <si>
    <t>per ft minimum casing</t>
  </si>
  <si>
    <t>per ft maximum casing</t>
  </si>
  <si>
    <t>Minimum for a 500 ft well</t>
  </si>
  <si>
    <t>Maximum for a 500 ft well</t>
  </si>
  <si>
    <t>CO2 Emissions Cost ($)</t>
  </si>
  <si>
    <t>5) Complete Table 2 under the Summary tab using the NYC Geothermal Feasibility Tool.</t>
  </si>
  <si>
    <t>4) Indicate that a further feasibility study is required based on the results from the tool used in item 2.</t>
  </si>
  <si>
    <t>*</t>
  </si>
  <si>
    <t>* NYC Geothermal Pre-feasibility Tool:</t>
  </si>
  <si>
    <r>
      <t xml:space="preserve">(this tool is to be used only if project passes </t>
    </r>
    <r>
      <rPr>
        <i/>
        <sz val="11"/>
        <color theme="1"/>
        <rFont val="Calibri"/>
        <family val="2"/>
        <scheme val="minor"/>
      </rPr>
      <t xml:space="preserve">NYC Geothermal Pre-Feasibility Tool* </t>
    </r>
    <r>
      <rPr>
        <sz val="11"/>
        <color theme="1"/>
        <rFont val="Calibri"/>
        <family val="2"/>
        <scheme val="minor"/>
      </rPr>
      <t>for "Full System Geothermal Feasibility")</t>
    </r>
  </si>
  <si>
    <t>These inputs will be derived from entering the project data into the NYC Geothermal Pre-Feasibilty Tool.</t>
  </si>
  <si>
    <t>Total HVAC Plant
Source Energy*
(kBtu/sqft/yr)</t>
  </si>
  <si>
    <t>**</t>
  </si>
  <si>
    <t>***</t>
  </si>
  <si>
    <t>CO2 Emissions ** (kg/MBtu)</t>
  </si>
  <si>
    <t>For information only - source energy not used for carbon cost calculations.</t>
  </si>
  <si>
    <t>Source-Site Ratio***
(US Ratio)</t>
  </si>
  <si>
    <t>Equipment Capacity (Tons)</t>
  </si>
  <si>
    <t>Electricity Demand $/kW</t>
  </si>
  <si>
    <t>Electricity (non-demand) Usage $/kWh (avg)</t>
  </si>
  <si>
    <t>Electricity (non-demand) $/kWh (avg)</t>
  </si>
  <si>
    <t>Heating COP</t>
  </si>
  <si>
    <t>Size Category (Btu/h)</t>
  </si>
  <si>
    <t>IEER</t>
  </si>
  <si>
    <t>Occupied Heat Pump Electric Input</t>
  </si>
  <si>
    <t>Unoccupied Heat Pump Electric Input</t>
  </si>
  <si>
    <t>btu/sf</t>
  </si>
  <si>
    <t>Data based on ASHRAE 90.1 2016 and assumption that a well water system would be designed with the same parameters of a CHW system and cooling tower fan would meet minimum induced draft tower efficiency requirements.</t>
  </si>
  <si>
    <t xml:space="preserve">Rating Condition </t>
  </si>
  <si>
    <t>77°F entering water</t>
  </si>
  <si>
    <t>59°F entering water</t>
  </si>
  <si>
    <t>50°F entering water</t>
  </si>
  <si>
    <t>≥240,000</t>
  </si>
  <si>
    <t>≥135,000</t>
  </si>
  <si>
    <t>Btus/kWh</t>
  </si>
  <si>
    <t>Data based ASHRAE 90.1-2016 Table 6.8.1-2. All equipment types assumed to be less than 135,000 Btu/h.</t>
  </si>
  <si>
    <t>Groundwater Source water to air
(cooling mode)</t>
  </si>
  <si>
    <t>Groundwater Source water to air
(heating mode)</t>
  </si>
  <si>
    <t>Groundwater Source water to water
(heating mode)</t>
  </si>
  <si>
    <t>Groundwater Source water to water
(cooling mode)</t>
  </si>
  <si>
    <t>Ground Source brine to air
(cooling mode)</t>
  </si>
  <si>
    <t>Ground Source brine to air
(heating mode)</t>
  </si>
  <si>
    <t>Ground Source brine to water
(cooling mode)</t>
  </si>
  <si>
    <t>Ground Source brine to water
(heating mode)</t>
  </si>
  <si>
    <t>Brine to Air Cooling Efficiency (closed loop)</t>
  </si>
  <si>
    <t>Brine to Water Cooling Efficiency (closed loop)</t>
  </si>
  <si>
    <t>Water to Air Cooling Efficiency (open loop)</t>
  </si>
  <si>
    <t>Water to Water Cooling Efficiency (open loop)</t>
  </si>
  <si>
    <t>Brine to Air Heating Efficiency (closed loop)</t>
  </si>
  <si>
    <t>Brine to Water Heating Efficiency (closed loop)</t>
  </si>
  <si>
    <t>Water to Air Heating Efficiency (open loop)</t>
  </si>
  <si>
    <t>Water to Water Heating Efficiency (open loop)</t>
  </si>
  <si>
    <t>Data for air-cooled heat pump based on ASHRAE 90.1-2016, Table 6.8.1-2.</t>
  </si>
  <si>
    <t>Air-Source Heat Pump</t>
  </si>
  <si>
    <t>Heating Efficiency (air-source Heat Pump RTU)</t>
  </si>
  <si>
    <t>Baseline Cooling Plant (Air-Source Heat Pump RTU)</t>
  </si>
  <si>
    <t>Baseline Heating Plant  (Air-Source Heat Pump RTU)</t>
  </si>
  <si>
    <t>SCA Standard HVAC System (Air-Source Heat Pump RTUs)</t>
  </si>
  <si>
    <t>Cooling Efficiency (avg.) (air-source Heat Pump RTU)</t>
  </si>
  <si>
    <t>Air-Source Heat Pump RTUs</t>
  </si>
  <si>
    <t>SCA Standard HVAC System</t>
  </si>
  <si>
    <t>Electric Cost (Yearly)</t>
  </si>
  <si>
    <t>Data for air-cooled heat pumps based on ASHRAE 90.1-2016, Table 6.8.1-2.
Effective Heating COP is an estimated value based on equipment performance data rated at approximate average NYC winter temperature.</t>
  </si>
  <si>
    <t xml:space="preserve">Life expectancy values for air-source heat pumps based on ASHRAE Life Expectancy Chart. </t>
  </si>
  <si>
    <t>Baseline System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</si>
</sst>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_);[Red]\(&quot;$&quot;#,##0\)"/>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_(&quot;$&quot;* #,##0_);_(&quot;$&quot;* \(#,##0\);_(&quot;$&quot;* &quot;-&quot;??_);_(@_)"/>
    <numFmt numFmtId="168" formatCode="_(* #,##0_);_(* \(#,##0\);_(* &quot;-&quot;??_);_(@_)"/>
    <numFmt numFmtId="169" formatCode="0.000"/>
    <numFmt numFmtId="170" formatCode="General_)"/>
    <numFmt numFmtId="171" formatCode="_(* #,##0.0_);_(* \(#,##0.0\);_(* &quot;-&quot;??_);_(@_)"/>
    <numFmt numFmtId="172" formatCode="0.00000"/>
    <numFmt numFmtId="173" formatCode="#,##0.0"/>
    <numFmt numFmtId="174" formatCode="&quot;$&quot;#,##0"/>
    <numFmt numFmtId="175" formatCode="&quot;$&quot;#,##0.00"/>
    <numFmt numFmtId="176" formatCode="&quot;$&quot;#,##0.0000"/>
  </numFmts>
  <fonts count="32" x14ac:knownFonts="1">
    <font>
      <sz val="11"/>
      <color theme="1"/>
      <name val="Calibri"/>
      <family val="2"/>
      <scheme val="minor"/>
    </font>
    <font>
      <b/>
      <sz val="11"/>
      <color theme="1"/>
      <name val="Calibri"/>
      <family val="2"/>
      <scheme val="minor"/>
    </font>
    <font>
      <u/>
      <sz val="11"/>
      <color theme="1"/>
      <name val="Calibri"/>
      <family val="2"/>
      <scheme val="minor"/>
    </font>
    <font>
      <i/>
      <sz val="8"/>
      <color theme="8"/>
      <name val="Calibri"/>
      <family val="2"/>
      <scheme val="minor"/>
    </font>
    <font>
      <sz val="11"/>
      <color theme="1"/>
      <name val="Calibri"/>
      <family val="2"/>
    </font>
    <font>
      <u/>
      <sz val="11"/>
      <color theme="10"/>
      <name val="Calibri"/>
      <family val="2"/>
      <scheme val="minor"/>
    </font>
    <font>
      <sz val="11"/>
      <color theme="1"/>
      <name val="Calibri"/>
      <family val="2"/>
      <scheme val="minor"/>
    </font>
    <font>
      <i/>
      <sz val="8"/>
      <color rgb="FF0070C0"/>
      <name val="Calibri"/>
      <family val="2"/>
      <scheme val="minor"/>
    </font>
    <font>
      <b/>
      <sz val="11"/>
      <color theme="1"/>
      <name val="Calibri"/>
      <family val="2"/>
    </font>
    <font>
      <sz val="11"/>
      <name val="Calibri"/>
      <family val="2"/>
      <scheme val="minor"/>
    </font>
    <font>
      <sz val="10"/>
      <name val="Times New Roman"/>
      <family val="1"/>
    </font>
    <font>
      <sz val="10"/>
      <name val="Arial"/>
      <family val="2"/>
    </font>
    <font>
      <sz val="10"/>
      <name val="Helv"/>
    </font>
    <font>
      <sz val="10"/>
      <color theme="1"/>
      <name val="Arial"/>
      <family val="2"/>
    </font>
    <font>
      <b/>
      <sz val="10"/>
      <color theme="1"/>
      <name val="Arial"/>
      <family val="2"/>
    </font>
    <font>
      <i/>
      <sz val="10"/>
      <color theme="8"/>
      <name val="Arial"/>
      <family val="2"/>
    </font>
    <font>
      <sz val="10"/>
      <color rgb="FF000000"/>
      <name val="Arial"/>
      <family val="2"/>
    </font>
    <font>
      <b/>
      <u/>
      <sz val="11"/>
      <color theme="1"/>
      <name val="Calibri"/>
      <family val="2"/>
      <scheme val="minor"/>
    </font>
    <font>
      <b/>
      <sz val="11"/>
      <color theme="0"/>
      <name val="Calibri"/>
      <family val="2"/>
      <scheme val="minor"/>
    </font>
    <font>
      <sz val="11"/>
      <color theme="0"/>
      <name val="Calibri"/>
      <family val="2"/>
      <scheme val="minor"/>
    </font>
    <font>
      <b/>
      <sz val="11"/>
      <color theme="0"/>
      <name val="Calibri"/>
      <family val="2"/>
    </font>
    <font>
      <i/>
      <sz val="8"/>
      <color theme="1"/>
      <name val="Calibri"/>
      <family val="2"/>
      <scheme val="minor"/>
    </font>
    <font>
      <b/>
      <sz val="10"/>
      <color theme="0"/>
      <name val="Arial"/>
      <family val="2"/>
    </font>
    <font>
      <sz val="11"/>
      <color rgb="FF000000"/>
      <name val="Calibri"/>
      <family val="2"/>
      <scheme val="minor"/>
    </font>
    <font>
      <i/>
      <sz val="11"/>
      <color theme="1"/>
      <name val="Calibri"/>
      <family val="2"/>
      <scheme val="minor"/>
    </font>
    <font>
      <i/>
      <sz val="8"/>
      <name val="Calibri"/>
      <family val="2"/>
      <scheme val="minor"/>
    </font>
    <font>
      <b/>
      <i/>
      <sz val="11"/>
      <color theme="0"/>
      <name val="Calibri"/>
      <family val="2"/>
      <scheme val="minor"/>
    </font>
    <font>
      <i/>
      <sz val="10"/>
      <color theme="1"/>
      <name val="Calibri"/>
      <family val="2"/>
      <scheme val="minor"/>
    </font>
    <font>
      <i/>
      <sz val="10"/>
      <name val="Calibri"/>
      <family val="2"/>
      <scheme val="minor"/>
    </font>
    <font>
      <i/>
      <u/>
      <sz val="10"/>
      <color theme="10"/>
      <name val="Calibri"/>
      <family val="2"/>
      <scheme val="minor"/>
    </font>
    <font>
      <b/>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theme="2"/>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theme="9" tint="0.59999389629810485"/>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diagonalUp="1" diagonalDown="1">
      <left style="thin">
        <color indexed="64"/>
      </left>
      <right style="thin">
        <color indexed="64"/>
      </right>
      <top style="medium">
        <color indexed="64"/>
      </top>
      <bottom/>
      <diagonal style="thin">
        <color indexed="64"/>
      </diagonal>
    </border>
    <border diagonalUp="1" diagonalDown="1">
      <left style="thin">
        <color indexed="64"/>
      </left>
      <right style="thin">
        <color indexed="64"/>
      </right>
      <top/>
      <bottom/>
      <diagonal style="thin">
        <color indexed="64"/>
      </diagonal>
    </border>
    <border diagonalUp="1" diagonalDown="1">
      <left style="thin">
        <color indexed="64"/>
      </left>
      <right style="thin">
        <color indexed="64"/>
      </right>
      <top/>
      <bottom style="medium">
        <color indexed="64"/>
      </bottom>
      <diagonal style="thin">
        <color indexed="64"/>
      </diagonal>
    </border>
    <border>
      <left style="medium">
        <color indexed="64"/>
      </left>
      <right/>
      <top/>
      <bottom style="medium">
        <color indexed="64"/>
      </bottom>
      <diagonal/>
    </border>
    <border>
      <left/>
      <right/>
      <top style="thin">
        <color indexed="64"/>
      </top>
      <bottom style="thin">
        <color indexed="64"/>
      </bottom>
      <diagonal/>
    </border>
    <border diagonalUp="1" diagonalDown="1">
      <left style="thin">
        <color indexed="64"/>
      </left>
      <right style="medium">
        <color indexed="64"/>
      </right>
      <top style="medium">
        <color indexed="64"/>
      </top>
      <bottom/>
      <diagonal style="thin">
        <color indexed="64"/>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bottom style="medium">
        <color indexed="64"/>
      </bottom>
      <diagonal style="thin">
        <color indexed="64"/>
      </diagonal>
    </border>
    <border>
      <left/>
      <right style="thin">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diagonalUp="1" diagonalDown="1">
      <left style="thin">
        <color indexed="64"/>
      </left>
      <right/>
      <top style="medium">
        <color indexed="64"/>
      </top>
      <bottom/>
      <diagonal style="thin">
        <color indexed="64"/>
      </diagonal>
    </border>
    <border>
      <left/>
      <right/>
      <top style="medium">
        <color indexed="64"/>
      </top>
      <bottom style="thin">
        <color indexed="64"/>
      </bottom>
      <diagonal/>
    </border>
    <border>
      <left/>
      <right/>
      <top style="thin">
        <color indexed="64"/>
      </top>
      <bottom style="medium">
        <color indexed="64"/>
      </bottom>
      <diagonal/>
    </border>
    <border diagonalUp="1" diagonalDown="1">
      <left style="thin">
        <color indexed="64"/>
      </left>
      <right/>
      <top/>
      <bottom style="medium">
        <color indexed="64"/>
      </bottom>
      <diagonal style="thin">
        <color indexed="64"/>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10">
    <xf numFmtId="0" fontId="0" fillId="0" borderId="0"/>
    <xf numFmtId="0" fontId="5" fillId="0" borderId="0" applyNumberForma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0" fontId="10" fillId="0" borderId="0"/>
    <xf numFmtId="170" fontId="12" fillId="0" borderId="0"/>
    <xf numFmtId="44" fontId="1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cellStyleXfs>
  <cellXfs count="661">
    <xf numFmtId="0" fontId="0" fillId="0" borderId="0" xfId="0"/>
    <xf numFmtId="0" fontId="0" fillId="0" borderId="1" xfId="0" applyBorder="1"/>
    <xf numFmtId="0" fontId="1" fillId="0" borderId="1" xfId="0" applyFont="1" applyBorder="1"/>
    <xf numFmtId="0" fontId="0" fillId="0" borderId="0" xfId="0" applyAlignment="1">
      <alignment horizontal="left" wrapText="1"/>
    </xf>
    <xf numFmtId="0" fontId="3" fillId="0" borderId="0" xfId="0" applyFont="1"/>
    <xf numFmtId="0" fontId="0" fillId="0" borderId="1"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5" fillId="0" borderId="0" xfId="1"/>
    <xf numFmtId="0" fontId="4" fillId="0" borderId="1" xfId="0" applyFont="1" applyBorder="1" applyAlignment="1">
      <alignment horizontal="center" vertical="center"/>
    </xf>
    <xf numFmtId="0" fontId="7" fillId="0" borderId="0" xfId="0" applyFont="1"/>
    <xf numFmtId="0" fontId="4" fillId="0" borderId="1" xfId="0" applyFont="1" applyBorder="1" applyAlignment="1">
      <alignment horizontal="center" wrapText="1"/>
    </xf>
    <xf numFmtId="0" fontId="0" fillId="0" borderId="0" xfId="0" applyAlignment="1">
      <alignment vertical="center" wrapText="1"/>
    </xf>
    <xf numFmtId="0" fontId="1" fillId="0" borderId="12" xfId="0" applyFont="1" applyBorder="1" applyAlignment="1">
      <alignment horizontal="left" wrapText="1"/>
    </xf>
    <xf numFmtId="0" fontId="1" fillId="0" borderId="10" xfId="0" applyFont="1" applyBorder="1" applyAlignment="1">
      <alignment horizontal="left" wrapText="1"/>
    </xf>
    <xf numFmtId="0" fontId="0" fillId="0" borderId="11" xfId="0" applyBorder="1"/>
    <xf numFmtId="0" fontId="0" fillId="0" borderId="13" xfId="0" applyBorder="1"/>
    <xf numFmtId="0" fontId="0" fillId="0" borderId="14" xfId="0" applyBorder="1"/>
    <xf numFmtId="167" fontId="0" fillId="0" borderId="1" xfId="0" applyNumberFormat="1" applyBorder="1"/>
    <xf numFmtId="0" fontId="0" fillId="0" borderId="1" xfId="0" applyBorder="1" applyAlignment="1">
      <alignment horizontal="center"/>
    </xf>
    <xf numFmtId="0" fontId="0" fillId="2" borderId="1" xfId="0" applyFill="1" applyBorder="1" applyAlignment="1">
      <alignment horizontal="center"/>
    </xf>
    <xf numFmtId="168" fontId="0" fillId="0" borderId="0" xfId="4" applyNumberFormat="1" applyFont="1"/>
    <xf numFmtId="0" fontId="14" fillId="0" borderId="0" xfId="0" applyFont="1"/>
    <xf numFmtId="167" fontId="0" fillId="0" borderId="39" xfId="2" applyNumberFormat="1" applyFont="1" applyBorder="1" applyAlignment="1">
      <alignment horizontal="center"/>
    </xf>
    <xf numFmtId="0" fontId="0" fillId="0" borderId="32" xfId="0" applyBorder="1" applyAlignment="1">
      <alignment horizontal="center"/>
    </xf>
    <xf numFmtId="167" fontId="0" fillId="0" borderId="37" xfId="2" applyNumberFormat="1" applyFont="1" applyBorder="1" applyAlignment="1">
      <alignment horizontal="center"/>
    </xf>
    <xf numFmtId="6" fontId="0" fillId="0" borderId="0" xfId="0" applyNumberFormat="1"/>
    <xf numFmtId="167" fontId="0" fillId="0" borderId="43" xfId="2" applyNumberFormat="1" applyFont="1" applyBorder="1" applyAlignment="1">
      <alignment horizontal="center"/>
    </xf>
    <xf numFmtId="37" fontId="0" fillId="0" borderId="1" xfId="0" applyNumberFormat="1" applyBorder="1" applyAlignment="1">
      <alignment horizontal="center"/>
    </xf>
    <xf numFmtId="37" fontId="0" fillId="0" borderId="1" xfId="2" applyNumberFormat="1" applyFont="1" applyFill="1" applyBorder="1" applyAlignment="1">
      <alignment horizontal="center"/>
    </xf>
    <xf numFmtId="0" fontId="0" fillId="0" borderId="0" xfId="0" applyAlignment="1">
      <alignment horizontal="center"/>
    </xf>
    <xf numFmtId="0" fontId="1" fillId="0" borderId="0" xfId="0" applyFont="1" applyAlignment="1">
      <alignment horizontal="left"/>
    </xf>
    <xf numFmtId="0" fontId="17" fillId="0" borderId="0" xfId="0" applyFont="1"/>
    <xf numFmtId="0" fontId="17" fillId="0" borderId="0" xfId="0" applyFont="1" applyAlignment="1">
      <alignment horizontal="left"/>
    </xf>
    <xf numFmtId="0" fontId="0" fillId="0" borderId="0" xfId="0" applyAlignment="1">
      <alignment horizontal="left"/>
    </xf>
    <xf numFmtId="0" fontId="0" fillId="0" borderId="3" xfId="0" applyBorder="1"/>
    <xf numFmtId="0" fontId="1" fillId="0" borderId="1" xfId="0" applyFont="1" applyBorder="1" applyAlignment="1">
      <alignment horizontal="center" vertical="center"/>
    </xf>
    <xf numFmtId="0" fontId="0" fillId="3" borderId="0" xfId="0" applyFill="1" applyAlignment="1">
      <alignment vertical="center" wrapText="1"/>
    </xf>
    <xf numFmtId="0" fontId="0" fillId="0" borderId="12" xfId="0" applyBorder="1"/>
    <xf numFmtId="0" fontId="0" fillId="0" borderId="41" xfId="0" applyBorder="1"/>
    <xf numFmtId="0" fontId="0" fillId="0" borderId="26" xfId="0" applyBorder="1"/>
    <xf numFmtId="0" fontId="0" fillId="0" borderId="18" xfId="0" applyBorder="1"/>
    <xf numFmtId="0" fontId="0" fillId="0" borderId="25" xfId="0" applyBorder="1"/>
    <xf numFmtId="0" fontId="0" fillId="0" borderId="42" xfId="0" applyBorder="1"/>
    <xf numFmtId="0" fontId="0" fillId="0" borderId="10" xfId="0" applyBorder="1"/>
    <xf numFmtId="0" fontId="0" fillId="0" borderId="35" xfId="0" applyBorder="1"/>
    <xf numFmtId="168" fontId="0" fillId="0" borderId="0" xfId="4" applyNumberFormat="1" applyFont="1" applyBorder="1"/>
    <xf numFmtId="164" fontId="0" fillId="0" borderId="0" xfId="0" applyNumberFormat="1"/>
    <xf numFmtId="43" fontId="0" fillId="0" borderId="0" xfId="0" applyNumberFormat="1"/>
    <xf numFmtId="43" fontId="0" fillId="0" borderId="18" xfId="0" applyNumberFormat="1" applyBorder="1"/>
    <xf numFmtId="44" fontId="0" fillId="0" borderId="0" xfId="2" applyFont="1" applyBorder="1" applyAlignment="1">
      <alignment horizontal="left"/>
    </xf>
    <xf numFmtId="166" fontId="0" fillId="0" borderId="0" xfId="2" applyNumberFormat="1" applyFont="1" applyBorder="1" applyAlignment="1">
      <alignment horizontal="left"/>
    </xf>
    <xf numFmtId="0" fontId="0" fillId="0" borderId="46" xfId="0" applyBorder="1"/>
    <xf numFmtId="0" fontId="13" fillId="0" borderId="54" xfId="0" applyFont="1" applyBorder="1" applyAlignment="1">
      <alignment vertical="center"/>
    </xf>
    <xf numFmtId="0" fontId="13" fillId="0" borderId="55" xfId="0" applyFont="1" applyBorder="1" applyAlignment="1">
      <alignment vertical="center"/>
    </xf>
    <xf numFmtId="0" fontId="13" fillId="0" borderId="56" xfId="0" applyFont="1" applyBorder="1" applyAlignment="1">
      <alignment vertical="center"/>
    </xf>
    <xf numFmtId="0" fontId="13" fillId="0" borderId="3" xfId="0" applyFont="1" applyBorder="1" applyAlignment="1">
      <alignment vertical="center"/>
    </xf>
    <xf numFmtId="9" fontId="0" fillId="0" borderId="0" xfId="0" applyNumberFormat="1"/>
    <xf numFmtId="167" fontId="0" fillId="0" borderId="1" xfId="2" applyNumberFormat="1" applyFont="1" applyFill="1" applyBorder="1"/>
    <xf numFmtId="0" fontId="0" fillId="2" borderId="1" xfId="0" applyFill="1" applyBorder="1"/>
    <xf numFmtId="0" fontId="2" fillId="0" borderId="0" xfId="0" applyFont="1"/>
    <xf numFmtId="168" fontId="0" fillId="0" borderId="0" xfId="4" applyNumberFormat="1" applyFont="1" applyBorder="1" applyAlignment="1"/>
    <xf numFmtId="167" fontId="0" fillId="0" borderId="8" xfId="2" applyNumberFormat="1" applyFont="1" applyFill="1" applyBorder="1"/>
    <xf numFmtId="0" fontId="9" fillId="4" borderId="1" xfId="0" applyFont="1" applyFill="1" applyBorder="1"/>
    <xf numFmtId="0" fontId="9" fillId="4" borderId="13" xfId="0" applyFont="1" applyFill="1" applyBorder="1"/>
    <xf numFmtId="0" fontId="0" fillId="4" borderId="24" xfId="0" applyFill="1" applyBorder="1"/>
    <xf numFmtId="0" fontId="0" fillId="4" borderId="44" xfId="0" applyFill="1" applyBorder="1"/>
    <xf numFmtId="0" fontId="0" fillId="4" borderId="40" xfId="0" applyFill="1" applyBorder="1"/>
    <xf numFmtId="0" fontId="0" fillId="4" borderId="18" xfId="0" applyFill="1" applyBorder="1"/>
    <xf numFmtId="0" fontId="18" fillId="5" borderId="1" xfId="0" applyFont="1" applyFill="1" applyBorder="1" applyAlignment="1">
      <alignment horizontal="center" vertical="center" wrapText="1"/>
    </xf>
    <xf numFmtId="0" fontId="19" fillId="5" borderId="1" xfId="0" applyFont="1" applyFill="1" applyBorder="1" applyAlignment="1">
      <alignment horizontal="center"/>
    </xf>
    <xf numFmtId="0" fontId="19" fillId="5" borderId="1" xfId="0" applyFont="1" applyFill="1" applyBorder="1"/>
    <xf numFmtId="0" fontId="0" fillId="3" borderId="1" xfId="0" applyFill="1" applyBorder="1"/>
    <xf numFmtId="0" fontId="18" fillId="5" borderId="1" xfId="0" applyFont="1" applyFill="1" applyBorder="1" applyAlignment="1">
      <alignment horizontal="center" vertical="center"/>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0" fillId="0" borderId="33" xfId="0" applyBorder="1"/>
    <xf numFmtId="0" fontId="0" fillId="0" borderId="36" xfId="0" applyBorder="1"/>
    <xf numFmtId="168" fontId="0" fillId="2" borderId="1" xfId="4" applyNumberFormat="1" applyFont="1" applyFill="1" applyBorder="1"/>
    <xf numFmtId="0" fontId="18" fillId="5" borderId="8" xfId="0" applyFont="1" applyFill="1" applyBorder="1" applyAlignment="1">
      <alignment horizontal="center" wrapText="1"/>
    </xf>
    <xf numFmtId="0" fontId="18" fillId="5" borderId="9" xfId="0" applyFont="1" applyFill="1" applyBorder="1" applyAlignment="1">
      <alignment horizontal="center" wrapText="1"/>
    </xf>
    <xf numFmtId="0" fontId="16" fillId="0" borderId="0" xfId="0" applyFont="1" applyAlignment="1">
      <alignment vertical="center"/>
    </xf>
    <xf numFmtId="0" fontId="23" fillId="0" borderId="0" xfId="0" applyFont="1" applyAlignment="1">
      <alignment vertical="center"/>
    </xf>
    <xf numFmtId="0" fontId="24" fillId="0" borderId="52" xfId="0" applyFont="1" applyBorder="1" applyAlignment="1">
      <alignment vertical="top" wrapText="1"/>
    </xf>
    <xf numFmtId="0" fontId="24" fillId="0" borderId="0" xfId="0" applyFont="1" applyAlignment="1">
      <alignment vertical="top" wrapText="1"/>
    </xf>
    <xf numFmtId="0" fontId="24" fillId="0" borderId="0" xfId="0" applyFont="1" applyAlignment="1">
      <alignment horizontal="left" vertical="top" wrapText="1"/>
    </xf>
    <xf numFmtId="0" fontId="23" fillId="0" borderId="11" xfId="0" applyFont="1" applyBorder="1" applyAlignment="1">
      <alignment vertical="center"/>
    </xf>
    <xf numFmtId="0" fontId="0" fillId="0" borderId="0" xfId="0" applyAlignment="1">
      <alignment horizontal="left" vertical="center" wrapText="1"/>
    </xf>
    <xf numFmtId="169" fontId="9" fillId="2" borderId="1" xfId="1" applyNumberFormat="1" applyFont="1" applyFill="1" applyBorder="1"/>
    <xf numFmtId="0" fontId="18" fillId="5" borderId="7"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4"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6" xfId="0" applyFont="1" applyFill="1" applyBorder="1" applyAlignment="1">
      <alignment horizontal="center" vertical="center"/>
    </xf>
    <xf numFmtId="0" fontId="18" fillId="5" borderId="51" xfId="0" applyFont="1" applyFill="1" applyBorder="1" applyAlignment="1">
      <alignment horizontal="center" vertical="center"/>
    </xf>
    <xf numFmtId="0" fontId="18" fillId="5" borderId="16" xfId="0" applyFont="1" applyFill="1" applyBorder="1" applyAlignment="1">
      <alignment horizontal="center" vertical="center" wrapText="1"/>
    </xf>
    <xf numFmtId="9" fontId="22" fillId="5" borderId="18" xfId="9" applyFont="1" applyFill="1" applyBorder="1" applyAlignment="1">
      <alignment horizontal="center" vertical="center" wrapText="1"/>
    </xf>
    <xf numFmtId="0" fontId="18" fillId="5" borderId="18" xfId="0" applyFont="1" applyFill="1" applyBorder="1" applyAlignment="1">
      <alignment horizontal="center" vertical="center" wrapText="1"/>
    </xf>
    <xf numFmtId="9" fontId="22" fillId="5" borderId="16" xfId="9" applyFont="1" applyFill="1" applyBorder="1" applyAlignment="1">
      <alignment horizontal="center" vertical="center"/>
    </xf>
    <xf numFmtId="0" fontId="18" fillId="5" borderId="1" xfId="0" applyFont="1" applyFill="1" applyBorder="1" applyAlignment="1">
      <alignment horizontal="center"/>
    </xf>
    <xf numFmtId="9" fontId="0" fillId="2" borderId="1" xfId="3" applyFont="1" applyFill="1" applyBorder="1"/>
    <xf numFmtId="0" fontId="0" fillId="0" borderId="13" xfId="0" applyBorder="1" applyAlignment="1">
      <alignment vertical="center"/>
    </xf>
    <xf numFmtId="167" fontId="0" fillId="0" borderId="18" xfId="2" applyNumberFormat="1" applyFont="1" applyFill="1" applyBorder="1"/>
    <xf numFmtId="0" fontId="18" fillId="5" borderId="13" xfId="0" applyFont="1" applyFill="1" applyBorder="1" applyAlignment="1">
      <alignment horizontal="center"/>
    </xf>
    <xf numFmtId="0" fontId="1" fillId="0" borderId="1" xfId="0" applyFont="1" applyBorder="1" applyAlignment="1">
      <alignment vertical="center"/>
    </xf>
    <xf numFmtId="0" fontId="27" fillId="0" borderId="0" xfId="0" applyFont="1"/>
    <xf numFmtId="0" fontId="24" fillId="0" borderId="0" xfId="0" applyFont="1"/>
    <xf numFmtId="9" fontId="0" fillId="0" borderId="1" xfId="3" applyFont="1" applyBorder="1" applyAlignment="1">
      <alignment horizontal="center" vertical="center"/>
    </xf>
    <xf numFmtId="0" fontId="24" fillId="0" borderId="0" xfId="0" applyFont="1" applyAlignment="1">
      <alignment vertical="center" wrapText="1"/>
    </xf>
    <xf numFmtId="0" fontId="18" fillId="5" borderId="20" xfId="0" applyFont="1" applyFill="1" applyBorder="1" applyAlignment="1">
      <alignment horizontal="center" vertical="center" wrapText="1"/>
    </xf>
    <xf numFmtId="0" fontId="18" fillId="5" borderId="21" xfId="0" applyFont="1" applyFill="1" applyBorder="1" applyAlignment="1">
      <alignment horizontal="center" vertical="center" wrapText="1"/>
    </xf>
    <xf numFmtId="9" fontId="13" fillId="4" borderId="24" xfId="9" applyFont="1" applyFill="1" applyBorder="1" applyAlignment="1"/>
    <xf numFmtId="0" fontId="18" fillId="5" borderId="1" xfId="0" applyFont="1" applyFill="1" applyBorder="1"/>
    <xf numFmtId="0" fontId="18" fillId="5" borderId="5" xfId="0" applyFont="1" applyFill="1" applyBorder="1"/>
    <xf numFmtId="0" fontId="19" fillId="5" borderId="48" xfId="0" applyFont="1" applyFill="1" applyBorder="1"/>
    <xf numFmtId="0" fontId="18" fillId="5" borderId="46" xfId="0" applyFont="1" applyFill="1" applyBorder="1"/>
    <xf numFmtId="0" fontId="18" fillId="5" borderId="46" xfId="0" applyFont="1" applyFill="1" applyBorder="1" applyAlignment="1">
      <alignment wrapText="1"/>
    </xf>
    <xf numFmtId="0" fontId="1" fillId="0" borderId="67" xfId="0" applyFont="1" applyBorder="1" applyAlignment="1">
      <alignment horizontal="center" vertical="center" wrapText="1"/>
    </xf>
    <xf numFmtId="172" fontId="0" fillId="0" borderId="55" xfId="0" applyNumberFormat="1" applyBorder="1"/>
    <xf numFmtId="0" fontId="1" fillId="0" borderId="54" xfId="0" applyFont="1" applyBorder="1" applyAlignment="1">
      <alignment horizontal="center" vertical="center" wrapText="1"/>
    </xf>
    <xf numFmtId="172" fontId="0" fillId="0" borderId="68" xfId="0" applyNumberFormat="1" applyBorder="1"/>
    <xf numFmtId="0" fontId="0" fillId="0" borderId="1" xfId="0" applyBorder="1" applyAlignment="1">
      <alignment horizontal="left"/>
    </xf>
    <xf numFmtId="0" fontId="21" fillId="0" borderId="0" xfId="0" applyFont="1" applyAlignment="1">
      <alignment horizontal="center"/>
    </xf>
    <xf numFmtId="0" fontId="27" fillId="0" borderId="0" xfId="0" applyFont="1" applyAlignment="1">
      <alignment horizontal="left" vertical="center" wrapText="1"/>
    </xf>
    <xf numFmtId="0" fontId="27" fillId="0" borderId="0" xfId="0" applyFont="1" applyAlignment="1">
      <alignment horizontal="left"/>
    </xf>
    <xf numFmtId="4" fontId="0" fillId="0" borderId="0" xfId="0" applyNumberFormat="1"/>
    <xf numFmtId="168" fontId="0" fillId="0" borderId="1" xfId="4" applyNumberFormat="1" applyFont="1" applyBorder="1" applyProtection="1">
      <protection hidden="1"/>
    </xf>
    <xf numFmtId="1" fontId="0" fillId="0" borderId="1" xfId="0" applyNumberFormat="1" applyBorder="1" applyProtection="1">
      <protection hidden="1"/>
    </xf>
    <xf numFmtId="0" fontId="0" fillId="0" borderId="1" xfId="0" applyBorder="1" applyProtection="1">
      <protection hidden="1"/>
    </xf>
    <xf numFmtId="168" fontId="0" fillId="0" borderId="13" xfId="4" applyNumberFormat="1" applyFont="1" applyBorder="1" applyProtection="1">
      <protection hidden="1"/>
    </xf>
    <xf numFmtId="0" fontId="9" fillId="4" borderId="10" xfId="0" applyFont="1" applyFill="1" applyBorder="1" applyAlignment="1" applyProtection="1">
      <alignment vertical="center" wrapText="1"/>
      <protection hidden="1"/>
    </xf>
    <xf numFmtId="0" fontId="9" fillId="4" borderId="1" xfId="0" applyFont="1" applyFill="1" applyBorder="1" applyAlignment="1" applyProtection="1">
      <alignment vertical="center" wrapText="1"/>
      <protection hidden="1"/>
    </xf>
    <xf numFmtId="9" fontId="11" fillId="4" borderId="1" xfId="9" applyFont="1" applyFill="1" applyBorder="1" applyAlignment="1" applyProtection="1">
      <protection hidden="1"/>
    </xf>
    <xf numFmtId="1" fontId="9" fillId="4" borderId="1" xfId="0" applyNumberFormat="1" applyFont="1" applyFill="1" applyBorder="1" applyProtection="1">
      <protection hidden="1"/>
    </xf>
    <xf numFmtId="0" fontId="0" fillId="4" borderId="1" xfId="0" applyFill="1" applyBorder="1" applyAlignment="1" applyProtection="1">
      <alignment vertical="center" wrapText="1"/>
      <protection hidden="1"/>
    </xf>
    <xf numFmtId="0" fontId="9" fillId="4" borderId="12" xfId="0" applyFont="1" applyFill="1" applyBorder="1" applyAlignment="1" applyProtection="1">
      <alignment vertical="center" wrapText="1"/>
      <protection hidden="1"/>
    </xf>
    <xf numFmtId="0" fontId="9" fillId="4" borderId="13" xfId="0" applyFont="1" applyFill="1" applyBorder="1" applyAlignment="1" applyProtection="1">
      <alignment vertical="center" wrapText="1"/>
      <protection hidden="1"/>
    </xf>
    <xf numFmtId="0" fontId="0" fillId="4" borderId="13" xfId="0" applyFill="1" applyBorder="1" applyAlignment="1" applyProtection="1">
      <alignment vertical="center" wrapText="1"/>
      <protection hidden="1"/>
    </xf>
    <xf numFmtId="9" fontId="11" fillId="4" borderId="13" xfId="9" applyFont="1" applyFill="1" applyBorder="1" applyAlignment="1" applyProtection="1">
      <protection hidden="1"/>
    </xf>
    <xf numFmtId="1" fontId="9" fillId="4" borderId="13" xfId="0" applyNumberFormat="1" applyFont="1" applyFill="1" applyBorder="1" applyProtection="1">
      <protection hidden="1"/>
    </xf>
    <xf numFmtId="168" fontId="0" fillId="4" borderId="24" xfId="4" applyNumberFormat="1" applyFont="1" applyFill="1" applyBorder="1" applyAlignment="1" applyProtection="1">
      <alignment vertical="center" wrapText="1"/>
      <protection hidden="1"/>
    </xf>
    <xf numFmtId="9" fontId="9" fillId="4" borderId="1" xfId="3" applyFont="1" applyFill="1" applyBorder="1" applyProtection="1">
      <protection hidden="1"/>
    </xf>
    <xf numFmtId="0" fontId="9" fillId="4" borderId="1" xfId="0" applyFont="1" applyFill="1" applyBorder="1" applyProtection="1">
      <protection hidden="1"/>
    </xf>
    <xf numFmtId="168" fontId="0" fillId="4" borderId="10" xfId="4" applyNumberFormat="1" applyFont="1" applyFill="1" applyBorder="1" applyProtection="1">
      <protection hidden="1"/>
    </xf>
    <xf numFmtId="168" fontId="0" fillId="4" borderId="1" xfId="4" applyNumberFormat="1" applyFont="1" applyFill="1" applyBorder="1" applyProtection="1">
      <protection hidden="1"/>
    </xf>
    <xf numFmtId="168" fontId="0" fillId="4" borderId="12" xfId="4" applyNumberFormat="1" applyFont="1" applyFill="1" applyBorder="1" applyProtection="1">
      <protection hidden="1"/>
    </xf>
    <xf numFmtId="168" fontId="0" fillId="4" borderId="13" xfId="4" applyNumberFormat="1" applyFont="1" applyFill="1" applyBorder="1" applyProtection="1">
      <protection hidden="1"/>
    </xf>
    <xf numFmtId="168" fontId="0" fillId="4" borderId="23" xfId="4" applyNumberFormat="1" applyFont="1" applyFill="1" applyBorder="1" applyProtection="1">
      <protection hidden="1"/>
    </xf>
    <xf numFmtId="168" fontId="0" fillId="4" borderId="45" xfId="4" applyNumberFormat="1" applyFont="1" applyFill="1" applyBorder="1" applyProtection="1">
      <protection hidden="1"/>
    </xf>
    <xf numFmtId="168" fontId="0" fillId="4" borderId="24" xfId="4" applyNumberFormat="1" applyFont="1" applyFill="1" applyBorder="1" applyProtection="1">
      <protection hidden="1"/>
    </xf>
    <xf numFmtId="168" fontId="0" fillId="0" borderId="1" xfId="4" applyNumberFormat="1" applyFont="1" applyFill="1" applyBorder="1" applyProtection="1">
      <protection hidden="1"/>
    </xf>
    <xf numFmtId="168" fontId="0" fillId="0" borderId="13" xfId="4" applyNumberFormat="1" applyFont="1" applyFill="1" applyBorder="1" applyProtection="1">
      <protection hidden="1"/>
    </xf>
    <xf numFmtId="168" fontId="0" fillId="0" borderId="23" xfId="4" applyNumberFormat="1" applyFont="1" applyFill="1" applyBorder="1" applyProtection="1">
      <protection hidden="1"/>
    </xf>
    <xf numFmtId="168" fontId="0" fillId="0" borderId="45" xfId="4" applyNumberFormat="1" applyFont="1" applyFill="1" applyBorder="1" applyProtection="1">
      <protection hidden="1"/>
    </xf>
    <xf numFmtId="0" fontId="0" fillId="4" borderId="7" xfId="0" applyFill="1" applyBorder="1" applyAlignment="1" applyProtection="1">
      <alignment vertical="center" wrapText="1"/>
      <protection hidden="1"/>
    </xf>
    <xf numFmtId="0" fontId="0" fillId="4" borderId="8" xfId="0" applyFill="1" applyBorder="1" applyAlignment="1" applyProtection="1">
      <alignment vertical="center" wrapText="1"/>
      <protection hidden="1"/>
    </xf>
    <xf numFmtId="9" fontId="13" fillId="4" borderId="8" xfId="9" applyFont="1" applyFill="1" applyBorder="1" applyAlignment="1" applyProtection="1">
      <protection hidden="1"/>
    </xf>
    <xf numFmtId="168" fontId="0" fillId="4" borderId="8" xfId="4" applyNumberFormat="1" applyFont="1" applyFill="1" applyBorder="1" applyProtection="1">
      <protection hidden="1"/>
    </xf>
    <xf numFmtId="168" fontId="0" fillId="4" borderId="34" xfId="4" applyNumberFormat="1" applyFont="1" applyFill="1" applyBorder="1" applyProtection="1">
      <protection hidden="1"/>
    </xf>
    <xf numFmtId="0" fontId="0" fillId="4" borderId="10" xfId="0" applyFill="1" applyBorder="1" applyAlignment="1" applyProtection="1">
      <alignment vertical="center" wrapText="1"/>
      <protection hidden="1"/>
    </xf>
    <xf numFmtId="9" fontId="13" fillId="4" borderId="1" xfId="9" applyFont="1" applyFill="1" applyBorder="1" applyAlignment="1" applyProtection="1">
      <protection hidden="1"/>
    </xf>
    <xf numFmtId="9" fontId="0" fillId="4" borderId="1" xfId="3" applyFont="1" applyFill="1" applyBorder="1" applyProtection="1">
      <protection hidden="1"/>
    </xf>
    <xf numFmtId="168" fontId="0" fillId="4" borderId="2" xfId="4" applyNumberFormat="1" applyFont="1" applyFill="1" applyBorder="1" applyProtection="1">
      <protection hidden="1"/>
    </xf>
    <xf numFmtId="0" fontId="0" fillId="4" borderId="12" xfId="0" applyFill="1" applyBorder="1" applyAlignment="1" applyProtection="1">
      <alignment vertical="center" wrapText="1"/>
      <protection hidden="1"/>
    </xf>
    <xf numFmtId="9" fontId="0" fillId="4" borderId="13" xfId="3" applyFont="1" applyFill="1" applyBorder="1" applyProtection="1">
      <protection hidden="1"/>
    </xf>
    <xf numFmtId="168" fontId="0" fillId="4" borderId="41" xfId="4" applyNumberFormat="1" applyFont="1" applyFill="1" applyBorder="1" applyProtection="1">
      <protection hidden="1"/>
    </xf>
    <xf numFmtId="168" fontId="0" fillId="4" borderId="18" xfId="4" applyNumberFormat="1" applyFont="1" applyFill="1" applyBorder="1" applyAlignment="1" applyProtection="1">
      <alignment vertical="center" wrapText="1"/>
      <protection hidden="1"/>
    </xf>
    <xf numFmtId="168" fontId="0" fillId="0" borderId="8" xfId="4" applyNumberFormat="1" applyFont="1" applyFill="1" applyBorder="1" applyProtection="1">
      <protection hidden="1"/>
    </xf>
    <xf numFmtId="168" fontId="0" fillId="0" borderId="16" xfId="4" applyNumberFormat="1" applyFont="1" applyFill="1" applyBorder="1" applyProtection="1">
      <protection hidden="1"/>
    </xf>
    <xf numFmtId="168" fontId="0" fillId="0" borderId="29" xfId="4" applyNumberFormat="1" applyFont="1" applyFill="1" applyBorder="1" applyProtection="1">
      <protection hidden="1"/>
    </xf>
    <xf numFmtId="168" fontId="0" fillId="0" borderId="66" xfId="4" applyNumberFormat="1" applyFont="1" applyFill="1" applyBorder="1" applyProtection="1">
      <protection hidden="1"/>
    </xf>
    <xf numFmtId="168" fontId="0" fillId="0" borderId="38" xfId="0" applyNumberFormat="1" applyBorder="1" applyProtection="1">
      <protection hidden="1"/>
    </xf>
    <xf numFmtId="168" fontId="0" fillId="0" borderId="8" xfId="0" applyNumberFormat="1" applyBorder="1" applyProtection="1">
      <protection hidden="1"/>
    </xf>
    <xf numFmtId="1" fontId="0" fillId="0" borderId="8" xfId="0" applyNumberFormat="1" applyBorder="1" applyProtection="1">
      <protection hidden="1"/>
    </xf>
    <xf numFmtId="168" fontId="0" fillId="0" borderId="7" xfId="0" applyNumberFormat="1" applyBorder="1" applyProtection="1">
      <protection hidden="1"/>
    </xf>
    <xf numFmtId="168" fontId="0" fillId="0" borderId="9" xfId="4" applyNumberFormat="1" applyFont="1" applyFill="1" applyBorder="1" applyProtection="1">
      <protection hidden="1"/>
    </xf>
    <xf numFmtId="168" fontId="0" fillId="0" borderId="3" xfId="0" applyNumberFormat="1" applyBorder="1" applyProtection="1">
      <protection hidden="1"/>
    </xf>
    <xf numFmtId="168" fontId="0" fillId="0" borderId="1" xfId="0" applyNumberFormat="1" applyBorder="1" applyProtection="1">
      <protection hidden="1"/>
    </xf>
    <xf numFmtId="168" fontId="0" fillId="0" borderId="10" xfId="0" applyNumberFormat="1" applyBorder="1" applyProtection="1">
      <protection hidden="1"/>
    </xf>
    <xf numFmtId="168" fontId="0" fillId="0" borderId="69" xfId="0" applyNumberFormat="1" applyBorder="1" applyProtection="1">
      <protection hidden="1"/>
    </xf>
    <xf numFmtId="168" fontId="0" fillId="0" borderId="13" xfId="0" applyNumberFormat="1" applyBorder="1" applyProtection="1">
      <protection hidden="1"/>
    </xf>
    <xf numFmtId="1" fontId="0" fillId="0" borderId="13" xfId="0" applyNumberFormat="1" applyBorder="1" applyProtection="1">
      <protection hidden="1"/>
    </xf>
    <xf numFmtId="168" fontId="0" fillId="0" borderId="12" xfId="0" applyNumberFormat="1" applyBorder="1" applyProtection="1">
      <protection hidden="1"/>
    </xf>
    <xf numFmtId="168" fontId="0" fillId="0" borderId="23" xfId="0" applyNumberFormat="1" applyBorder="1" applyProtection="1">
      <protection hidden="1"/>
    </xf>
    <xf numFmtId="165" fontId="0" fillId="0" borderId="1" xfId="0" applyNumberFormat="1" applyBorder="1" applyProtection="1">
      <protection hidden="1"/>
    </xf>
    <xf numFmtId="2" fontId="0" fillId="0" borderId="1" xfId="0" applyNumberFormat="1" applyBorder="1" applyProtection="1">
      <protection hidden="1"/>
    </xf>
    <xf numFmtId="169" fontId="0" fillId="0" borderId="1" xfId="0" applyNumberFormat="1" applyBorder="1" applyProtection="1">
      <protection hidden="1"/>
    </xf>
    <xf numFmtId="0" fontId="0" fillId="0" borderId="1" xfId="0" applyBorder="1" applyAlignment="1" applyProtection="1">
      <alignment horizontal="right"/>
      <protection hidden="1"/>
    </xf>
    <xf numFmtId="9" fontId="1" fillId="0" borderId="7" xfId="3" applyFont="1" applyFill="1" applyBorder="1" applyAlignment="1" applyProtection="1">
      <alignment horizontal="center" vertical="center" wrapText="1"/>
      <protection hidden="1"/>
    </xf>
    <xf numFmtId="9" fontId="1" fillId="0" borderId="8" xfId="3" applyFont="1" applyFill="1" applyBorder="1" applyAlignment="1" applyProtection="1">
      <alignment horizontal="center" vertical="center" wrapText="1"/>
      <protection hidden="1"/>
    </xf>
    <xf numFmtId="9" fontId="1" fillId="0" borderId="9" xfId="3" applyFont="1" applyFill="1" applyBorder="1" applyAlignment="1" applyProtection="1">
      <alignment horizontal="center" vertical="center" wrapText="1"/>
      <protection hidden="1"/>
    </xf>
    <xf numFmtId="0" fontId="0" fillId="0" borderId="10" xfId="0" applyBorder="1" applyAlignment="1" applyProtection="1">
      <alignment horizontal="center" vertical="center"/>
      <protection hidden="1"/>
    </xf>
    <xf numFmtId="0" fontId="0" fillId="0" borderId="1" xfId="0" applyBorder="1" applyAlignment="1" applyProtection="1">
      <alignment horizontal="center" vertical="center"/>
      <protection hidden="1"/>
    </xf>
    <xf numFmtId="165" fontId="0" fillId="0" borderId="1" xfId="0" applyNumberFormat="1" applyBorder="1" applyAlignment="1" applyProtection="1">
      <alignment horizontal="center" vertical="center"/>
      <protection hidden="1"/>
    </xf>
    <xf numFmtId="165" fontId="0" fillId="0" borderId="11" xfId="0" applyNumberFormat="1" applyBorder="1" applyAlignment="1" applyProtection="1">
      <alignment horizontal="center" vertical="center"/>
      <protection hidden="1"/>
    </xf>
    <xf numFmtId="165" fontId="0" fillId="0" borderId="13" xfId="0" applyNumberFormat="1" applyBorder="1" applyAlignment="1" applyProtection="1">
      <alignment horizontal="center" vertical="center"/>
      <protection hidden="1"/>
    </xf>
    <xf numFmtId="165" fontId="0" fillId="0" borderId="14" xfId="0" applyNumberFormat="1" applyBorder="1" applyAlignment="1" applyProtection="1">
      <alignment horizontal="center" vertical="center"/>
      <protection hidden="1"/>
    </xf>
    <xf numFmtId="165" fontId="0" fillId="0" borderId="10" xfId="0" applyNumberFormat="1" applyBorder="1" applyAlignment="1" applyProtection="1">
      <alignment horizontal="center" vertical="center"/>
      <protection hidden="1"/>
    </xf>
    <xf numFmtId="165" fontId="0" fillId="0" borderId="12" xfId="0" applyNumberFormat="1" applyBorder="1" applyAlignment="1" applyProtection="1">
      <alignment horizontal="center" vertical="center"/>
      <protection hidden="1"/>
    </xf>
    <xf numFmtId="168" fontId="0" fillId="0" borderId="1" xfId="4" applyNumberFormat="1" applyFont="1" applyFill="1" applyBorder="1" applyAlignment="1" applyProtection="1">
      <alignment horizontal="center" vertical="center"/>
      <protection hidden="1"/>
    </xf>
    <xf numFmtId="43" fontId="0" fillId="0" borderId="1" xfId="4" applyFont="1" applyFill="1" applyBorder="1" applyAlignment="1" applyProtection="1">
      <alignment horizontal="center" vertical="center"/>
      <protection hidden="1"/>
    </xf>
    <xf numFmtId="168" fontId="0" fillId="0" borderId="1" xfId="4" applyNumberFormat="1" applyFont="1" applyFill="1" applyBorder="1" applyAlignment="1" applyProtection="1">
      <alignment vertical="center"/>
      <protection hidden="1"/>
    </xf>
    <xf numFmtId="167" fontId="0" fillId="0" borderId="1" xfId="0" applyNumberFormat="1" applyBorder="1" applyProtection="1">
      <protection hidden="1"/>
    </xf>
    <xf numFmtId="1" fontId="0" fillId="0" borderId="1" xfId="0" applyNumberFormat="1" applyBorder="1" applyAlignment="1" applyProtection="1">
      <alignment horizontal="center"/>
      <protection hidden="1"/>
    </xf>
    <xf numFmtId="3" fontId="0" fillId="0" borderId="13" xfId="0" applyNumberFormat="1" applyBorder="1" applyAlignment="1" applyProtection="1">
      <alignment horizontal="center"/>
      <protection hidden="1"/>
    </xf>
    <xf numFmtId="3" fontId="0" fillId="0" borderId="14" xfId="0" applyNumberFormat="1" applyBorder="1" applyAlignment="1" applyProtection="1">
      <alignment horizontal="center"/>
      <protection hidden="1"/>
    </xf>
    <xf numFmtId="0" fontId="0" fillId="2" borderId="10" xfId="0" applyFill="1" applyBorder="1" applyProtection="1">
      <protection hidden="1"/>
    </xf>
    <xf numFmtId="3" fontId="0" fillId="0" borderId="1" xfId="0" applyNumberFormat="1" applyBorder="1" applyAlignment="1" applyProtection="1">
      <alignment horizontal="center" vertical="center"/>
      <protection hidden="1"/>
    </xf>
    <xf numFmtId="173" fontId="0" fillId="0" borderId="1" xfId="0" applyNumberFormat="1" applyBorder="1" applyAlignment="1" applyProtection="1">
      <alignment horizontal="center"/>
      <protection hidden="1"/>
    </xf>
    <xf numFmtId="3" fontId="0" fillId="0" borderId="1" xfId="0" applyNumberFormat="1" applyBorder="1" applyAlignment="1" applyProtection="1">
      <alignment horizontal="center"/>
      <protection hidden="1"/>
    </xf>
    <xf numFmtId="0" fontId="0" fillId="0" borderId="1" xfId="0" applyBorder="1" applyAlignment="1" applyProtection="1">
      <alignment horizontal="center"/>
      <protection hidden="1"/>
    </xf>
    <xf numFmtId="0" fontId="0" fillId="2" borderId="1" xfId="0" applyFill="1" applyBorder="1" applyAlignment="1" applyProtection="1">
      <alignment horizontal="center"/>
      <protection hidden="1"/>
    </xf>
    <xf numFmtId="0" fontId="0" fillId="3" borderId="1" xfId="0" applyFill="1" applyBorder="1" applyAlignment="1" applyProtection="1">
      <alignment horizontal="center"/>
      <protection locked="0"/>
    </xf>
    <xf numFmtId="1" fontId="0" fillId="3" borderId="1" xfId="0" applyNumberFormat="1" applyFill="1" applyBorder="1" applyAlignment="1" applyProtection="1">
      <alignment horizontal="center"/>
      <protection locked="0"/>
    </xf>
    <xf numFmtId="0" fontId="18" fillId="5" borderId="3" xfId="0" applyFont="1" applyFill="1" applyBorder="1" applyAlignment="1">
      <alignment horizontal="center" vertical="center" wrapText="1"/>
    </xf>
    <xf numFmtId="174" fontId="0" fillId="0" borderId="1" xfId="2" applyNumberFormat="1" applyFont="1" applyFill="1" applyBorder="1" applyAlignment="1" applyProtection="1">
      <alignment horizontal="center"/>
      <protection hidden="1"/>
    </xf>
    <xf numFmtId="174" fontId="0" fillId="0" borderId="1" xfId="2" applyNumberFormat="1" applyFont="1" applyFill="1" applyBorder="1" applyAlignment="1" applyProtection="1">
      <alignment vertical="center"/>
      <protection hidden="1"/>
    </xf>
    <xf numFmtId="174" fontId="0" fillId="0" borderId="1" xfId="2" applyNumberFormat="1" applyFont="1" applyFill="1" applyBorder="1" applyProtection="1">
      <protection hidden="1"/>
    </xf>
    <xf numFmtId="174" fontId="0" fillId="2" borderId="1" xfId="2" applyNumberFormat="1" applyFont="1" applyFill="1" applyBorder="1" applyAlignment="1" applyProtection="1">
      <alignment horizontal="center"/>
      <protection hidden="1"/>
    </xf>
    <xf numFmtId="174" fontId="0" fillId="0" borderId="11" xfId="2" applyNumberFormat="1" applyFont="1" applyFill="1" applyBorder="1" applyAlignment="1" applyProtection="1">
      <alignment horizontal="center"/>
      <protection hidden="1"/>
    </xf>
    <xf numFmtId="174" fontId="0" fillId="0" borderId="11" xfId="0" applyNumberFormat="1" applyBorder="1" applyProtection="1">
      <protection hidden="1"/>
    </xf>
    <xf numFmtId="174" fontId="0" fillId="0" borderId="1" xfId="0" applyNumberFormat="1" applyBorder="1" applyAlignment="1" applyProtection="1">
      <alignment horizontal="center"/>
      <protection hidden="1"/>
    </xf>
    <xf numFmtId="174" fontId="0" fillId="0" borderId="11" xfId="0" applyNumberFormat="1" applyBorder="1" applyAlignment="1" applyProtection="1">
      <alignment horizontal="center"/>
      <protection hidden="1"/>
    </xf>
    <xf numFmtId="174" fontId="0" fillId="2" borderId="10" xfId="2" applyNumberFormat="1" applyFont="1" applyFill="1" applyBorder="1" applyProtection="1">
      <protection hidden="1"/>
    </xf>
    <xf numFmtId="174" fontId="0" fillId="2" borderId="10" xfId="0" applyNumberFormat="1" applyFill="1" applyBorder="1" applyProtection="1">
      <protection hidden="1"/>
    </xf>
    <xf numFmtId="174" fontId="0" fillId="2" borderId="12" xfId="0" applyNumberFormat="1" applyFill="1" applyBorder="1" applyProtection="1">
      <protection hidden="1"/>
    </xf>
    <xf numFmtId="174" fontId="0" fillId="2" borderId="13" xfId="2" applyNumberFormat="1" applyFont="1" applyFill="1" applyBorder="1" applyProtection="1">
      <protection hidden="1"/>
    </xf>
    <xf numFmtId="174" fontId="0" fillId="2" borderId="14" xfId="2" applyNumberFormat="1" applyFont="1" applyFill="1" applyBorder="1" applyProtection="1">
      <protection hidden="1"/>
    </xf>
    <xf numFmtId="174" fontId="0" fillId="0" borderId="13" xfId="2" applyNumberFormat="1" applyFont="1" applyFill="1" applyBorder="1" applyProtection="1">
      <protection hidden="1"/>
    </xf>
    <xf numFmtId="174" fontId="0" fillId="0" borderId="13" xfId="2" applyNumberFormat="1" applyFont="1" applyFill="1" applyBorder="1" applyAlignment="1" applyProtection="1">
      <alignment horizontal="right"/>
      <protection hidden="1"/>
    </xf>
    <xf numFmtId="174" fontId="0" fillId="0" borderId="0" xfId="2" applyNumberFormat="1" applyFont="1" applyFill="1" applyBorder="1" applyProtection="1">
      <protection hidden="1"/>
    </xf>
    <xf numFmtId="174" fontId="0" fillId="0" borderId="18" xfId="2" applyNumberFormat="1" applyFont="1" applyFill="1" applyBorder="1" applyProtection="1">
      <protection hidden="1"/>
    </xf>
    <xf numFmtId="174" fontId="0" fillId="0" borderId="26" xfId="0" applyNumberFormat="1" applyBorder="1" applyProtection="1">
      <protection hidden="1"/>
    </xf>
    <xf numFmtId="174" fontId="0" fillId="0" borderId="2" xfId="2" applyNumberFormat="1" applyFont="1" applyFill="1" applyBorder="1" applyProtection="1">
      <protection hidden="1"/>
    </xf>
    <xf numFmtId="174" fontId="1" fillId="0" borderId="14" xfId="0" applyNumberFormat="1" applyFont="1" applyBorder="1" applyProtection="1">
      <protection hidden="1"/>
    </xf>
    <xf numFmtId="174" fontId="0" fillId="0" borderId="47" xfId="2" applyNumberFormat="1" applyFont="1" applyFill="1" applyBorder="1" applyProtection="1">
      <protection hidden="1"/>
    </xf>
    <xf numFmtId="174" fontId="0" fillId="0" borderId="8" xfId="2" applyNumberFormat="1" applyFont="1" applyFill="1" applyBorder="1" applyProtection="1">
      <protection hidden="1"/>
    </xf>
    <xf numFmtId="174" fontId="0" fillId="0" borderId="9" xfId="0" applyNumberFormat="1" applyBorder="1" applyProtection="1">
      <protection hidden="1"/>
    </xf>
    <xf numFmtId="0" fontId="18" fillId="5" borderId="12"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14" xfId="0" applyFont="1" applyFill="1" applyBorder="1" applyAlignment="1">
      <alignment horizontal="center" vertical="center"/>
    </xf>
    <xf numFmtId="168" fontId="0" fillId="0" borderId="40" xfId="4" applyNumberFormat="1" applyFont="1" applyFill="1" applyBorder="1" applyProtection="1">
      <protection hidden="1"/>
    </xf>
    <xf numFmtId="43" fontId="0" fillId="0" borderId="1" xfId="4" applyFont="1" applyFill="1" applyBorder="1" applyProtection="1">
      <protection hidden="1"/>
    </xf>
    <xf numFmtId="168" fontId="0" fillId="0" borderId="25" xfId="4" applyNumberFormat="1" applyFont="1" applyFill="1" applyBorder="1" applyProtection="1">
      <protection hidden="1"/>
    </xf>
    <xf numFmtId="168" fontId="0" fillId="0" borderId="18" xfId="4" applyNumberFormat="1" applyFont="1" applyFill="1" applyBorder="1" applyProtection="1">
      <protection hidden="1"/>
    </xf>
    <xf numFmtId="0" fontId="18" fillId="5" borderId="41" xfId="0" applyFont="1" applyFill="1" applyBorder="1" applyAlignment="1">
      <alignment horizontal="center" vertical="center"/>
    </xf>
    <xf numFmtId="168" fontId="0" fillId="4" borderId="25" xfId="4" applyNumberFormat="1" applyFont="1" applyFill="1" applyBorder="1" applyProtection="1">
      <protection hidden="1"/>
    </xf>
    <xf numFmtId="168" fontId="0" fillId="4" borderId="18" xfId="4" applyNumberFormat="1" applyFont="1" applyFill="1" applyBorder="1" applyProtection="1">
      <protection hidden="1"/>
    </xf>
    <xf numFmtId="0" fontId="18" fillId="5" borderId="12" xfId="0" applyFont="1" applyFill="1" applyBorder="1" applyAlignment="1">
      <alignment horizontal="center" vertical="center" wrapText="1"/>
    </xf>
    <xf numFmtId="0" fontId="18" fillId="5" borderId="13" xfId="0" applyFont="1" applyFill="1" applyBorder="1" applyAlignment="1">
      <alignment horizontal="center" vertical="center" wrapText="1"/>
    </xf>
    <xf numFmtId="43" fontId="0" fillId="0" borderId="13" xfId="4" applyFont="1" applyFill="1" applyBorder="1" applyProtection="1">
      <protection hidden="1"/>
    </xf>
    <xf numFmtId="168" fontId="0" fillId="0" borderId="0" xfId="0" applyNumberFormat="1"/>
    <xf numFmtId="0" fontId="0" fillId="0" borderId="15" xfId="0" applyBorder="1"/>
    <xf numFmtId="0" fontId="0" fillId="0" borderId="75" xfId="0" applyBorder="1"/>
    <xf numFmtId="0" fontId="18" fillId="5" borderId="54" xfId="0" applyFont="1" applyFill="1" applyBorder="1" applyAlignment="1">
      <alignment horizontal="center" vertical="center" wrapText="1"/>
    </xf>
    <xf numFmtId="0" fontId="18" fillId="5" borderId="56" xfId="0" applyFont="1" applyFill="1" applyBorder="1" applyAlignment="1">
      <alignment horizontal="center" vertical="center"/>
    </xf>
    <xf numFmtId="168" fontId="0" fillId="0" borderId="49" xfId="4" applyNumberFormat="1" applyFont="1" applyFill="1" applyBorder="1" applyProtection="1">
      <protection hidden="1"/>
    </xf>
    <xf numFmtId="168" fontId="0" fillId="0" borderId="70" xfId="4" applyNumberFormat="1" applyFont="1" applyFill="1" applyBorder="1" applyProtection="1">
      <protection hidden="1"/>
    </xf>
    <xf numFmtId="168" fontId="0" fillId="0" borderId="30" xfId="4" applyNumberFormat="1" applyFont="1" applyFill="1" applyBorder="1" applyProtection="1">
      <protection hidden="1"/>
    </xf>
    <xf numFmtId="9" fontId="9" fillId="4" borderId="18" xfId="3" applyFont="1" applyFill="1" applyBorder="1" applyProtection="1">
      <protection hidden="1"/>
    </xf>
    <xf numFmtId="0" fontId="9" fillId="4" borderId="18" xfId="0" applyFont="1" applyFill="1" applyBorder="1" applyProtection="1">
      <protection hidden="1"/>
    </xf>
    <xf numFmtId="0" fontId="9" fillId="4" borderId="25" xfId="0" applyFont="1" applyFill="1" applyBorder="1" applyAlignment="1" applyProtection="1">
      <alignment vertical="center" wrapText="1"/>
      <protection hidden="1"/>
    </xf>
    <xf numFmtId="0" fontId="9" fillId="4" borderId="18" xfId="0" applyFont="1" applyFill="1" applyBorder="1" applyAlignment="1" applyProtection="1">
      <alignment vertical="center" wrapText="1"/>
      <protection hidden="1"/>
    </xf>
    <xf numFmtId="9" fontId="11" fillId="4" borderId="18" xfId="9" applyFont="1" applyFill="1" applyBorder="1" applyAlignment="1" applyProtection="1">
      <protection hidden="1"/>
    </xf>
    <xf numFmtId="1" fontId="9" fillId="4" borderId="18" xfId="0" applyNumberFormat="1" applyFont="1" applyFill="1" applyBorder="1" applyProtection="1">
      <protection hidden="1"/>
    </xf>
    <xf numFmtId="9" fontId="22" fillId="5" borderId="12" xfId="9" applyFont="1" applyFill="1" applyBorder="1" applyAlignment="1">
      <alignment horizontal="center" vertical="center"/>
    </xf>
    <xf numFmtId="9" fontId="22" fillId="5" borderId="13" xfId="9" applyFont="1" applyFill="1" applyBorder="1" applyAlignment="1">
      <alignment horizontal="center" vertical="center"/>
    </xf>
    <xf numFmtId="169" fontId="22" fillId="5" borderId="13" xfId="5" quotePrefix="1" applyNumberFormat="1" applyFont="1" applyFill="1" applyBorder="1" applyAlignment="1">
      <alignment horizontal="center" vertical="center"/>
    </xf>
    <xf numFmtId="43" fontId="0" fillId="0" borderId="8" xfId="4" applyFont="1" applyFill="1" applyBorder="1" applyProtection="1">
      <protection hidden="1"/>
    </xf>
    <xf numFmtId="0" fontId="0" fillId="0" borderId="0" xfId="0" applyAlignment="1">
      <alignment wrapText="1"/>
    </xf>
    <xf numFmtId="0" fontId="18" fillId="5" borderId="77" xfId="0" applyFont="1" applyFill="1" applyBorder="1" applyAlignment="1">
      <alignment horizontal="center" vertical="center" wrapText="1"/>
    </xf>
    <xf numFmtId="168" fontId="0" fillId="2" borderId="30" xfId="4" applyNumberFormat="1" applyFont="1" applyFill="1" applyBorder="1" applyProtection="1">
      <protection hidden="1"/>
    </xf>
    <xf numFmtId="43" fontId="0" fillId="2" borderId="18" xfId="4" applyFont="1" applyFill="1" applyBorder="1" applyProtection="1">
      <protection hidden="1"/>
    </xf>
    <xf numFmtId="168" fontId="0" fillId="2" borderId="67" xfId="4" applyNumberFormat="1" applyFont="1" applyFill="1" applyBorder="1" applyProtection="1">
      <protection hidden="1"/>
    </xf>
    <xf numFmtId="168" fontId="0" fillId="2" borderId="55" xfId="4" applyNumberFormat="1" applyFont="1" applyFill="1" applyBorder="1" applyProtection="1">
      <protection hidden="1"/>
    </xf>
    <xf numFmtId="168" fontId="0" fillId="2" borderId="14" xfId="4" applyNumberFormat="1" applyFont="1" applyFill="1" applyBorder="1" applyProtection="1">
      <protection hidden="1"/>
    </xf>
    <xf numFmtId="168" fontId="0" fillId="2" borderId="17" xfId="4" applyNumberFormat="1" applyFont="1" applyFill="1" applyBorder="1" applyProtection="1">
      <protection hidden="1"/>
    </xf>
    <xf numFmtId="168" fontId="0" fillId="2" borderId="8" xfId="4" applyNumberFormat="1" applyFont="1" applyFill="1" applyBorder="1" applyProtection="1">
      <protection hidden="1"/>
    </xf>
    <xf numFmtId="168" fontId="0" fillId="2" borderId="26" xfId="0" applyNumberFormat="1" applyFill="1" applyBorder="1" applyAlignment="1">
      <alignment horizontal="center" vertical="center" wrapText="1"/>
    </xf>
    <xf numFmtId="168" fontId="0" fillId="2" borderId="11" xfId="0" applyNumberFormat="1" applyFill="1" applyBorder="1" applyAlignment="1">
      <alignment horizontal="center" vertical="center" wrapText="1"/>
    </xf>
    <xf numFmtId="168" fontId="0" fillId="2" borderId="1" xfId="4" applyNumberFormat="1" applyFont="1" applyFill="1" applyBorder="1" applyProtection="1">
      <protection hidden="1"/>
    </xf>
    <xf numFmtId="168" fontId="0" fillId="2" borderId="28" xfId="0" applyNumberFormat="1" applyFill="1" applyBorder="1" applyAlignment="1">
      <alignment horizontal="center" vertical="center" wrapText="1"/>
    </xf>
    <xf numFmtId="168" fontId="0" fillId="2" borderId="24" xfId="4" applyNumberFormat="1" applyFont="1" applyFill="1" applyBorder="1" applyProtection="1">
      <protection hidden="1"/>
    </xf>
    <xf numFmtId="168" fontId="0" fillId="2" borderId="31" xfId="0" applyNumberFormat="1" applyFill="1" applyBorder="1" applyAlignment="1">
      <alignment horizontal="center" vertical="center" wrapText="1"/>
    </xf>
    <xf numFmtId="43" fontId="0" fillId="2" borderId="21" xfId="4" applyFont="1" applyFill="1" applyBorder="1" applyProtection="1">
      <protection hidden="1"/>
    </xf>
    <xf numFmtId="168" fontId="0" fillId="2" borderId="21" xfId="4" applyNumberFormat="1" applyFont="1" applyFill="1" applyBorder="1" applyProtection="1">
      <protection hidden="1"/>
    </xf>
    <xf numFmtId="168" fontId="0" fillId="2" borderId="15" xfId="4" applyNumberFormat="1" applyFont="1" applyFill="1" applyBorder="1" applyProtection="1">
      <protection hidden="1"/>
    </xf>
    <xf numFmtId="168" fontId="0" fillId="2" borderId="62" xfId="4" applyNumberFormat="1" applyFont="1" applyFill="1" applyBorder="1" applyProtection="1">
      <protection hidden="1"/>
    </xf>
    <xf numFmtId="43" fontId="0" fillId="2" borderId="1" xfId="4" applyFont="1" applyFill="1" applyBorder="1" applyProtection="1">
      <protection hidden="1"/>
    </xf>
    <xf numFmtId="168" fontId="0" fillId="2" borderId="18" xfId="4" applyNumberFormat="1" applyFont="1" applyFill="1" applyBorder="1" applyProtection="1">
      <protection hidden="1"/>
    </xf>
    <xf numFmtId="168" fontId="0" fillId="2" borderId="66" xfId="4" applyNumberFormat="1" applyFont="1" applyFill="1" applyBorder="1" applyProtection="1">
      <protection hidden="1"/>
    </xf>
    <xf numFmtId="168" fontId="0" fillId="2" borderId="5" xfId="4" applyNumberFormat="1" applyFont="1" applyFill="1" applyBorder="1" applyProtection="1">
      <protection hidden="1"/>
    </xf>
    <xf numFmtId="168" fontId="0" fillId="0" borderId="72" xfId="4" applyNumberFormat="1" applyFont="1" applyFill="1" applyBorder="1" applyProtection="1">
      <protection hidden="1"/>
    </xf>
    <xf numFmtId="0" fontId="0" fillId="0" borderId="8" xfId="0" applyBorder="1"/>
    <xf numFmtId="168" fontId="0" fillId="2" borderId="38" xfId="4" applyNumberFormat="1" applyFont="1" applyFill="1" applyBorder="1" applyProtection="1">
      <protection hidden="1"/>
    </xf>
    <xf numFmtId="168" fontId="0" fillId="2" borderId="72" xfId="4" applyNumberFormat="1" applyFont="1" applyFill="1" applyBorder="1" applyProtection="1">
      <protection hidden="1"/>
    </xf>
    <xf numFmtId="168" fontId="0" fillId="2" borderId="70" xfId="4" applyNumberFormat="1" applyFont="1" applyFill="1" applyBorder="1" applyProtection="1">
      <protection hidden="1"/>
    </xf>
    <xf numFmtId="168" fontId="0" fillId="2" borderId="75" xfId="4" applyNumberFormat="1" applyFont="1" applyFill="1" applyBorder="1" applyProtection="1">
      <protection hidden="1"/>
    </xf>
    <xf numFmtId="168" fontId="0" fillId="2" borderId="6" xfId="4" applyNumberFormat="1" applyFont="1" applyFill="1" applyBorder="1" applyProtection="1">
      <protection hidden="1"/>
    </xf>
    <xf numFmtId="168" fontId="0" fillId="2" borderId="74" xfId="4" applyNumberFormat="1" applyFont="1" applyFill="1" applyBorder="1" applyProtection="1">
      <protection hidden="1"/>
    </xf>
    <xf numFmtId="168" fontId="0" fillId="2" borderId="0" xfId="4" applyNumberFormat="1" applyFont="1" applyFill="1" applyBorder="1" applyProtection="1">
      <protection hidden="1"/>
    </xf>
    <xf numFmtId="168" fontId="0" fillId="2" borderId="26" xfId="4" applyNumberFormat="1" applyFont="1" applyFill="1" applyBorder="1" applyProtection="1">
      <protection hidden="1"/>
    </xf>
    <xf numFmtId="168" fontId="0" fillId="2" borderId="11" xfId="4" applyNumberFormat="1" applyFont="1" applyFill="1" applyBorder="1" applyProtection="1">
      <protection hidden="1"/>
    </xf>
    <xf numFmtId="168" fontId="0" fillId="2" borderId="28" xfId="4" applyNumberFormat="1" applyFont="1" applyFill="1" applyBorder="1" applyProtection="1">
      <protection hidden="1"/>
    </xf>
    <xf numFmtId="168" fontId="0" fillId="2" borderId="31" xfId="4" applyNumberFormat="1" applyFont="1" applyFill="1" applyBorder="1" applyProtection="1">
      <protection hidden="1"/>
    </xf>
    <xf numFmtId="168" fontId="0" fillId="0" borderId="1" xfId="0" applyNumberFormat="1" applyBorder="1" applyAlignment="1">
      <alignment vertical="center" wrapText="1"/>
    </xf>
    <xf numFmtId="168" fontId="0" fillId="0" borderId="1" xfId="0" applyNumberFormat="1" applyBorder="1"/>
    <xf numFmtId="3" fontId="0" fillId="0" borderId="1" xfId="0" applyNumberFormat="1" applyBorder="1" applyAlignment="1">
      <alignment horizontal="center"/>
    </xf>
    <xf numFmtId="0" fontId="0" fillId="0" borderId="1" xfId="0" applyBorder="1" applyAlignment="1">
      <alignment horizontal="right"/>
    </xf>
    <xf numFmtId="3" fontId="0" fillId="0" borderId="16" xfId="0" applyNumberFormat="1" applyBorder="1" applyAlignment="1">
      <alignment horizontal="center"/>
    </xf>
    <xf numFmtId="0" fontId="27" fillId="0" borderId="0" xfId="0" applyFont="1" applyAlignment="1">
      <alignment vertical="top" wrapText="1"/>
    </xf>
    <xf numFmtId="0" fontId="27" fillId="0" borderId="15" xfId="0" applyFont="1" applyBorder="1" applyAlignment="1">
      <alignment vertical="top" wrapText="1"/>
    </xf>
    <xf numFmtId="0" fontId="29" fillId="0" borderId="78" xfId="1" applyFont="1" applyBorder="1"/>
    <xf numFmtId="0" fontId="29" fillId="0" borderId="42" xfId="1" applyFont="1" applyBorder="1"/>
    <xf numFmtId="0" fontId="0" fillId="0" borderId="70" xfId="0" applyBorder="1"/>
    <xf numFmtId="0" fontId="0" fillId="0" borderId="72" xfId="0" applyBorder="1"/>
    <xf numFmtId="174" fontId="0" fillId="0" borderId="16" xfId="2" applyNumberFormat="1" applyFont="1" applyFill="1" applyBorder="1" applyProtection="1">
      <protection hidden="1"/>
    </xf>
    <xf numFmtId="174" fontId="0" fillId="0" borderId="1" xfId="0" applyNumberFormat="1" applyBorder="1"/>
    <xf numFmtId="9" fontId="0" fillId="0" borderId="1" xfId="3" applyFont="1" applyBorder="1"/>
    <xf numFmtId="165" fontId="0" fillId="0" borderId="1" xfId="0" applyNumberFormat="1" applyBorder="1"/>
    <xf numFmtId="168" fontId="0" fillId="0" borderId="21" xfId="4" applyNumberFormat="1" applyFont="1" applyFill="1" applyBorder="1" applyProtection="1">
      <protection hidden="1"/>
    </xf>
    <xf numFmtId="1" fontId="0" fillId="0" borderId="21" xfId="0" applyNumberFormat="1" applyBorder="1" applyProtection="1">
      <protection hidden="1"/>
    </xf>
    <xf numFmtId="165" fontId="0" fillId="0" borderId="11" xfId="0" applyNumberFormat="1" applyBorder="1" applyProtection="1">
      <protection hidden="1"/>
    </xf>
    <xf numFmtId="171" fontId="0" fillId="0" borderId="11" xfId="0" applyNumberFormat="1" applyBorder="1" applyProtection="1">
      <protection hidden="1"/>
    </xf>
    <xf numFmtId="171" fontId="0" fillId="0" borderId="14" xfId="0" applyNumberFormat="1" applyBorder="1"/>
    <xf numFmtId="0" fontId="0" fillId="0" borderId="7" xfId="0" applyBorder="1"/>
    <xf numFmtId="1" fontId="0" fillId="0" borderId="9" xfId="0" applyNumberFormat="1" applyBorder="1" applyProtection="1">
      <protection hidden="1"/>
    </xf>
    <xf numFmtId="0" fontId="18" fillId="5" borderId="29" xfId="0" applyFont="1" applyFill="1" applyBorder="1" applyAlignment="1">
      <alignment horizontal="center" vertical="center"/>
    </xf>
    <xf numFmtId="0" fontId="0" fillId="0" borderId="39" xfId="0" applyBorder="1"/>
    <xf numFmtId="0" fontId="18" fillId="5" borderId="29" xfId="0" applyFont="1" applyFill="1" applyBorder="1"/>
    <xf numFmtId="168" fontId="0" fillId="0" borderId="31" xfId="4" applyNumberFormat="1" applyFont="1" applyBorder="1" applyAlignment="1" applyProtection="1">
      <protection hidden="1"/>
    </xf>
    <xf numFmtId="0" fontId="18" fillId="5" borderId="29" xfId="0" applyFont="1" applyFill="1" applyBorder="1" applyAlignment="1">
      <alignment horizontal="center" vertical="center" wrapText="1"/>
    </xf>
    <xf numFmtId="0" fontId="18" fillId="5" borderId="5" xfId="0" applyFont="1" applyFill="1" applyBorder="1" applyAlignment="1">
      <alignment wrapText="1"/>
    </xf>
    <xf numFmtId="168" fontId="1" fillId="0" borderId="54" xfId="4" applyNumberFormat="1" applyFont="1" applyFill="1" applyBorder="1" applyAlignment="1" applyProtection="1">
      <alignment horizontal="center" vertical="center" wrapText="1"/>
      <protection hidden="1"/>
    </xf>
    <xf numFmtId="168" fontId="0" fillId="0" borderId="55" xfId="4" applyNumberFormat="1" applyFont="1" applyFill="1" applyBorder="1" applyProtection="1">
      <protection hidden="1"/>
    </xf>
    <xf numFmtId="168" fontId="0" fillId="0" borderId="68" xfId="4" applyNumberFormat="1" applyFont="1" applyFill="1" applyBorder="1" applyProtection="1">
      <protection hidden="1"/>
    </xf>
    <xf numFmtId="165" fontId="0" fillId="0" borderId="39" xfId="0" applyNumberFormat="1" applyBorder="1" applyAlignment="1" applyProtection="1">
      <alignment horizontal="center"/>
      <protection hidden="1"/>
    </xf>
    <xf numFmtId="165" fontId="0" fillId="0" borderId="55" xfId="0" applyNumberFormat="1" applyBorder="1" applyAlignment="1" applyProtection="1">
      <alignment horizontal="center"/>
      <protection hidden="1"/>
    </xf>
    <xf numFmtId="165" fontId="0" fillId="0" borderId="68" xfId="0" applyNumberFormat="1" applyBorder="1" applyAlignment="1" applyProtection="1">
      <alignment horizontal="center"/>
      <protection hidden="1"/>
    </xf>
    <xf numFmtId="9" fontId="1" fillId="0" borderId="37" xfId="0" applyNumberFormat="1" applyFont="1" applyBorder="1" applyAlignment="1" applyProtection="1">
      <alignment horizontal="center" vertical="center" wrapText="1"/>
      <protection hidden="1"/>
    </xf>
    <xf numFmtId="175" fontId="0" fillId="0" borderId="3" xfId="0" applyNumberFormat="1" applyBorder="1" applyProtection="1">
      <protection hidden="1"/>
    </xf>
    <xf numFmtId="0" fontId="18" fillId="5" borderId="14"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25" xfId="0" applyFont="1" applyBorder="1" applyAlignment="1">
      <alignment horizontal="center" vertical="center"/>
    </xf>
    <xf numFmtId="0" fontId="18" fillId="5" borderId="69" xfId="0" applyFont="1" applyFill="1" applyBorder="1" applyAlignment="1">
      <alignment horizontal="center" vertical="center" wrapText="1"/>
    </xf>
    <xf numFmtId="168" fontId="0" fillId="0" borderId="3" xfId="4" applyNumberFormat="1" applyFont="1" applyFill="1" applyBorder="1" applyAlignment="1" applyProtection="1">
      <alignment horizontal="center" vertical="center"/>
      <protection hidden="1"/>
    </xf>
    <xf numFmtId="0" fontId="1" fillId="0" borderId="39" xfId="0" applyFont="1" applyBorder="1" applyAlignment="1">
      <alignment vertical="center" wrapText="1"/>
    </xf>
    <xf numFmtId="0" fontId="1" fillId="0" borderId="25" xfId="0" applyFont="1" applyBorder="1" applyAlignment="1">
      <alignment horizontal="left" wrapText="1"/>
    </xf>
    <xf numFmtId="1" fontId="0" fillId="0" borderId="18" xfId="0" applyNumberFormat="1" applyBorder="1" applyAlignment="1" applyProtection="1">
      <alignment horizontal="center"/>
      <protection hidden="1"/>
    </xf>
    <xf numFmtId="1" fontId="0" fillId="0" borderId="26" xfId="0" applyNumberFormat="1" applyBorder="1" applyAlignment="1" applyProtection="1">
      <alignment horizontal="center"/>
      <protection hidden="1"/>
    </xf>
    <xf numFmtId="0" fontId="18" fillId="5" borderId="30" xfId="0" applyFont="1" applyFill="1" applyBorder="1" applyAlignment="1">
      <alignment horizontal="center" wrapText="1"/>
    </xf>
    <xf numFmtId="0" fontId="0" fillId="0" borderId="10" xfId="0" applyBorder="1" applyAlignment="1">
      <alignment horizontal="left"/>
    </xf>
    <xf numFmtId="0" fontId="0" fillId="2" borderId="11" xfId="0" applyFill="1" applyBorder="1" applyAlignment="1">
      <alignment horizontal="center"/>
    </xf>
    <xf numFmtId="0" fontId="0" fillId="0" borderId="27" xfId="0" applyBorder="1" applyAlignment="1">
      <alignment horizontal="left"/>
    </xf>
    <xf numFmtId="0" fontId="0" fillId="2" borderId="16" xfId="0" applyFill="1" applyBorder="1" applyAlignment="1">
      <alignment horizontal="center"/>
    </xf>
    <xf numFmtId="0" fontId="0" fillId="2" borderId="28" xfId="0" applyFill="1" applyBorder="1" applyAlignment="1">
      <alignment horizontal="center"/>
    </xf>
    <xf numFmtId="174" fontId="0" fillId="0" borderId="0" xfId="2" applyNumberFormat="1" applyFont="1" applyFill="1" applyBorder="1" applyAlignment="1" applyProtection="1">
      <alignment horizontal="right"/>
      <protection hidden="1"/>
    </xf>
    <xf numFmtId="174" fontId="0" fillId="0" borderId="18" xfId="2" applyNumberFormat="1" applyFont="1" applyFill="1" applyBorder="1" applyAlignment="1" applyProtection="1">
      <alignment horizontal="right"/>
      <protection hidden="1"/>
    </xf>
    <xf numFmtId="174" fontId="0" fillId="0" borderId="2" xfId="2" applyNumberFormat="1" applyFont="1" applyFill="1" applyBorder="1" applyAlignment="1" applyProtection="1">
      <alignment horizontal="right"/>
      <protection hidden="1"/>
    </xf>
    <xf numFmtId="174" fontId="0" fillId="0" borderId="1" xfId="2" applyNumberFormat="1" applyFont="1" applyFill="1" applyBorder="1" applyAlignment="1" applyProtection="1">
      <alignment horizontal="right"/>
      <protection hidden="1"/>
    </xf>
    <xf numFmtId="174" fontId="0" fillId="0" borderId="47" xfId="2" applyNumberFormat="1" applyFont="1" applyFill="1" applyBorder="1" applyAlignment="1" applyProtection="1">
      <alignment horizontal="right"/>
      <protection hidden="1"/>
    </xf>
    <xf numFmtId="174" fontId="0" fillId="0" borderId="8" xfId="2" applyNumberFormat="1" applyFont="1" applyFill="1" applyBorder="1" applyAlignment="1" applyProtection="1">
      <alignment horizontal="right"/>
      <protection hidden="1"/>
    </xf>
    <xf numFmtId="174" fontId="0" fillId="0" borderId="9" xfId="2" applyNumberFormat="1" applyFont="1" applyFill="1" applyBorder="1" applyAlignment="1" applyProtection="1">
      <alignment horizontal="right"/>
      <protection hidden="1"/>
    </xf>
    <xf numFmtId="174" fontId="0" fillId="0" borderId="11" xfId="2" applyNumberFormat="1" applyFont="1" applyFill="1" applyBorder="1" applyAlignment="1" applyProtection="1">
      <alignment horizontal="right"/>
      <protection hidden="1"/>
    </xf>
    <xf numFmtId="174" fontId="0" fillId="0" borderId="14" xfId="2" applyNumberFormat="1" applyFont="1" applyFill="1" applyBorder="1" applyAlignment="1" applyProtection="1">
      <alignment horizontal="right"/>
      <protection hidden="1"/>
    </xf>
    <xf numFmtId="0" fontId="0" fillId="0" borderId="16" xfId="0" applyBorder="1" applyAlignment="1">
      <alignment vertical="center"/>
    </xf>
    <xf numFmtId="174" fontId="0" fillId="0" borderId="16" xfId="2" applyNumberFormat="1" applyFont="1" applyFill="1" applyBorder="1" applyAlignment="1" applyProtection="1">
      <alignment horizontal="right"/>
      <protection hidden="1"/>
    </xf>
    <xf numFmtId="174" fontId="0" fillId="0" borderId="26" xfId="0" applyNumberFormat="1" applyBorder="1" applyAlignment="1" applyProtection="1">
      <alignment horizontal="right"/>
      <protection hidden="1"/>
    </xf>
    <xf numFmtId="174" fontId="1" fillId="0" borderId="26" xfId="0" applyNumberFormat="1" applyFont="1" applyBorder="1" applyAlignment="1" applyProtection="1">
      <alignment horizontal="right"/>
      <protection hidden="1"/>
    </xf>
    <xf numFmtId="0" fontId="18" fillId="5" borderId="2" xfId="0" applyFont="1" applyFill="1" applyBorder="1" applyAlignment="1">
      <alignment horizontal="center" vertical="center" wrapText="1"/>
    </xf>
    <xf numFmtId="0" fontId="0" fillId="0" borderId="2" xfId="0" applyBorder="1" applyAlignment="1">
      <alignment horizontal="center" vertical="center"/>
    </xf>
    <xf numFmtId="0" fontId="18" fillId="0" borderId="78" xfId="0" applyFont="1" applyBorder="1"/>
    <xf numFmtId="0" fontId="0" fillId="0" borderId="78" xfId="0" applyBorder="1"/>
    <xf numFmtId="0" fontId="27" fillId="0" borderId="78" xfId="0" applyFont="1" applyBorder="1"/>
    <xf numFmtId="0" fontId="0" fillId="0" borderId="27" xfId="0" applyBorder="1"/>
    <xf numFmtId="174" fontId="9" fillId="2" borderId="1" xfId="2" applyNumberFormat="1" applyFont="1" applyFill="1" applyBorder="1" applyAlignment="1" applyProtection="1">
      <alignment horizontal="center"/>
      <protection hidden="1"/>
    </xf>
    <xf numFmtId="174" fontId="9" fillId="2" borderId="11" xfId="2" applyNumberFormat="1" applyFont="1" applyFill="1" applyBorder="1" applyAlignment="1" applyProtection="1">
      <alignment horizontal="center"/>
      <protection hidden="1"/>
    </xf>
    <xf numFmtId="3" fontId="0" fillId="2" borderId="10" xfId="2" applyNumberFormat="1" applyFont="1" applyFill="1" applyBorder="1" applyProtection="1">
      <protection hidden="1"/>
    </xf>
    <xf numFmtId="0" fontId="0" fillId="0" borderId="62" xfId="0" applyBorder="1" applyAlignment="1" applyProtection="1">
      <alignment horizontal="center"/>
      <protection hidden="1"/>
    </xf>
    <xf numFmtId="1" fontId="0" fillId="0" borderId="1" xfId="2" applyNumberFormat="1" applyFont="1" applyFill="1" applyBorder="1" applyAlignment="1" applyProtection="1">
      <alignment horizontal="center"/>
      <protection hidden="1"/>
    </xf>
    <xf numFmtId="0" fontId="0" fillId="6" borderId="1" xfId="0" applyFill="1" applyBorder="1" applyAlignment="1" applyProtection="1">
      <alignment horizontal="center"/>
      <protection locked="0"/>
    </xf>
    <xf numFmtId="174" fontId="0" fillId="6" borderId="1" xfId="2" applyNumberFormat="1" applyFont="1" applyFill="1" applyBorder="1" applyAlignment="1" applyProtection="1">
      <alignment horizontal="center"/>
      <protection locked="0"/>
    </xf>
    <xf numFmtId="0" fontId="9" fillId="3" borderId="1" xfId="0" applyFont="1" applyFill="1" applyBorder="1" applyAlignment="1" applyProtection="1">
      <alignment horizontal="center" vertical="center"/>
      <protection locked="0"/>
    </xf>
    <xf numFmtId="3" fontId="9" fillId="3" borderId="1" xfId="4" applyNumberFormat="1" applyFont="1" applyFill="1" applyBorder="1" applyAlignment="1" applyProtection="1">
      <alignment horizontal="center" vertical="center"/>
      <protection locked="0"/>
    </xf>
    <xf numFmtId="0" fontId="18" fillId="0" borderId="0" xfId="0" applyFont="1" applyAlignment="1">
      <alignment vertical="center" wrapText="1"/>
    </xf>
    <xf numFmtId="0" fontId="0" fillId="0" borderId="29" xfId="0" applyBorder="1"/>
    <xf numFmtId="0" fontId="0" fillId="0" borderId="30" xfId="0" applyBorder="1"/>
    <xf numFmtId="0" fontId="0" fillId="0" borderId="30" xfId="0" applyBorder="1" applyAlignment="1">
      <alignment horizontal="center" vertical="center"/>
    </xf>
    <xf numFmtId="0" fontId="0" fillId="0" borderId="30" xfId="0" applyBorder="1" applyAlignment="1">
      <alignment horizontal="center" vertical="center" wrapText="1"/>
    </xf>
    <xf numFmtId="0" fontId="0" fillId="0" borderId="31" xfId="0" applyBorder="1" applyAlignment="1">
      <alignment horizontal="center" vertical="center"/>
    </xf>
    <xf numFmtId="0" fontId="0" fillId="0" borderId="8" xfId="0" applyBorder="1" applyAlignment="1">
      <alignment horizontal="center" vertical="center"/>
    </xf>
    <xf numFmtId="165" fontId="0" fillId="0" borderId="8" xfId="0" applyNumberFormat="1" applyBorder="1"/>
    <xf numFmtId="9" fontId="0" fillId="0" borderId="8" xfId="3" applyFont="1" applyBorder="1"/>
    <xf numFmtId="2" fontId="0" fillId="0" borderId="9" xfId="0" applyNumberFormat="1" applyBorder="1"/>
    <xf numFmtId="0" fontId="0" fillId="0" borderId="13" xfId="0" applyBorder="1" applyAlignment="1">
      <alignment horizontal="center" vertical="center"/>
    </xf>
    <xf numFmtId="165" fontId="0" fillId="0" borderId="13" xfId="0" applyNumberFormat="1" applyBorder="1"/>
    <xf numFmtId="9" fontId="0" fillId="0" borderId="13" xfId="3" applyFont="1" applyBorder="1"/>
    <xf numFmtId="2" fontId="0" fillId="0" borderId="14" xfId="0" applyNumberFormat="1" applyBorder="1"/>
    <xf numFmtId="43" fontId="0" fillId="0" borderId="11" xfId="0" applyNumberFormat="1" applyBorder="1" applyProtection="1">
      <protection hidden="1"/>
    </xf>
    <xf numFmtId="165" fontId="0" fillId="0" borderId="1" xfId="0" applyNumberFormat="1" applyBorder="1" applyAlignment="1">
      <alignment horizontal="center" vertical="center"/>
    </xf>
    <xf numFmtId="167" fontId="0" fillId="0" borderId="1" xfId="2" applyNumberFormat="1" applyFont="1" applyFill="1" applyBorder="1" applyProtection="1">
      <protection hidden="1"/>
    </xf>
    <xf numFmtId="174" fontId="0" fillId="2" borderId="1" xfId="2" applyNumberFormat="1" applyFont="1" applyFill="1" applyBorder="1" applyProtection="1">
      <protection hidden="1"/>
    </xf>
    <xf numFmtId="167" fontId="0" fillId="0" borderId="11" xfId="2" applyNumberFormat="1" applyFont="1" applyFill="1" applyBorder="1" applyProtection="1">
      <protection hidden="1"/>
    </xf>
    <xf numFmtId="174" fontId="0" fillId="2" borderId="11" xfId="2" applyNumberFormat="1" applyFont="1" applyFill="1" applyBorder="1" applyProtection="1">
      <protection hidden="1"/>
    </xf>
    <xf numFmtId="0" fontId="1" fillId="0" borderId="25" xfId="0" applyFont="1" applyBorder="1" applyAlignment="1">
      <alignment horizontal="left"/>
    </xf>
    <xf numFmtId="1" fontId="0" fillId="0" borderId="18" xfId="0" applyNumberFormat="1" applyBorder="1" applyAlignment="1" applyProtection="1">
      <alignment horizontal="center" vertical="center"/>
      <protection hidden="1"/>
    </xf>
    <xf numFmtId="1" fontId="0" fillId="0" borderId="26" xfId="0" applyNumberFormat="1" applyBorder="1" applyAlignment="1" applyProtection="1">
      <alignment horizontal="center" vertical="center"/>
      <protection hidden="1"/>
    </xf>
    <xf numFmtId="0" fontId="18" fillId="5" borderId="24"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38" xfId="0" applyFont="1" applyFill="1" applyBorder="1" applyAlignment="1">
      <alignment horizontal="center" vertical="center" wrapText="1"/>
    </xf>
    <xf numFmtId="174" fontId="0" fillId="0" borderId="1" xfId="0" applyNumberFormat="1" applyBorder="1" applyProtection="1">
      <protection hidden="1"/>
    </xf>
    <xf numFmtId="175" fontId="0" fillId="0" borderId="11" xfId="0" applyNumberFormat="1" applyBorder="1" applyProtection="1">
      <protection hidden="1"/>
    </xf>
    <xf numFmtId="174" fontId="0" fillId="0" borderId="9" xfId="0" applyNumberFormat="1" applyBorder="1" applyAlignment="1" applyProtection="1">
      <alignment horizontal="right"/>
      <protection hidden="1"/>
    </xf>
    <xf numFmtId="174" fontId="0" fillId="0" borderId="11" xfId="0" applyNumberFormat="1" applyBorder="1" applyAlignment="1" applyProtection="1">
      <alignment horizontal="right"/>
      <protection hidden="1"/>
    </xf>
    <xf numFmtId="174" fontId="1" fillId="0" borderId="14" xfId="0" applyNumberFormat="1" applyFont="1" applyBorder="1" applyAlignment="1" applyProtection="1">
      <alignment horizontal="right"/>
      <protection hidden="1"/>
    </xf>
    <xf numFmtId="175" fontId="0" fillId="0" borderId="1" xfId="2" applyNumberFormat="1" applyFont="1" applyFill="1" applyBorder="1" applyAlignment="1" applyProtection="1">
      <alignment horizontal="right"/>
      <protection hidden="1"/>
    </xf>
    <xf numFmtId="3" fontId="9" fillId="6" borderId="1" xfId="4" applyNumberFormat="1" applyFont="1" applyFill="1" applyBorder="1" applyAlignment="1" applyProtection="1">
      <alignment horizontal="center" vertical="center"/>
      <protection locked="0"/>
    </xf>
    <xf numFmtId="43" fontId="0" fillId="0" borderId="11" xfId="0" applyNumberFormat="1" applyBorder="1"/>
    <xf numFmtId="176" fontId="0" fillId="0" borderId="1" xfId="2" applyNumberFormat="1" applyFont="1" applyFill="1" applyBorder="1" applyAlignment="1" applyProtection="1">
      <alignment horizontal="right"/>
      <protection hidden="1"/>
    </xf>
    <xf numFmtId="174" fontId="0" fillId="0" borderId="0" xfId="0" applyNumberFormat="1"/>
    <xf numFmtId="10" fontId="0" fillId="0" borderId="0" xfId="3" applyNumberFormat="1" applyFont="1"/>
    <xf numFmtId="1" fontId="0" fillId="0" borderId="11" xfId="0" applyNumberFormat="1" applyBorder="1" applyAlignment="1" applyProtection="1">
      <alignment horizontal="center"/>
      <protection hidden="1"/>
    </xf>
    <xf numFmtId="6" fontId="23" fillId="2" borderId="7" xfId="0" applyNumberFormat="1" applyFont="1" applyFill="1" applyBorder="1" applyAlignment="1" applyProtection="1">
      <alignment horizontal="right" vertical="center"/>
      <protection hidden="1"/>
    </xf>
    <xf numFmtId="0" fontId="23" fillId="0" borderId="9" xfId="0" applyFont="1" applyBorder="1" applyAlignment="1">
      <alignment vertical="center"/>
    </xf>
    <xf numFmtId="6" fontId="23" fillId="2" borderId="10" xfId="0" applyNumberFormat="1" applyFont="1" applyFill="1" applyBorder="1" applyAlignment="1" applyProtection="1">
      <alignment horizontal="right" vertical="center"/>
      <protection hidden="1"/>
    </xf>
    <xf numFmtId="3" fontId="23" fillId="2" borderId="10" xfId="0" applyNumberFormat="1" applyFont="1" applyFill="1" applyBorder="1" applyAlignment="1" applyProtection="1">
      <alignment horizontal="right" vertical="center"/>
      <protection hidden="1"/>
    </xf>
    <xf numFmtId="0" fontId="23" fillId="2" borderId="10" xfId="0" applyFont="1" applyFill="1" applyBorder="1" applyAlignment="1" applyProtection="1">
      <alignment horizontal="right" vertical="center"/>
      <protection hidden="1"/>
    </xf>
    <xf numFmtId="174" fontId="23" fillId="2" borderId="10" xfId="2" quotePrefix="1" applyNumberFormat="1" applyFont="1" applyFill="1" applyBorder="1" applyAlignment="1" applyProtection="1">
      <alignment vertical="center"/>
      <protection hidden="1"/>
    </xf>
    <xf numFmtId="174" fontId="23" fillId="2" borderId="10" xfId="2" applyNumberFormat="1" applyFont="1" applyFill="1" applyBorder="1" applyAlignment="1" applyProtection="1">
      <alignment vertical="center"/>
      <protection hidden="1"/>
    </xf>
    <xf numFmtId="174" fontId="23" fillId="2" borderId="12" xfId="2" applyNumberFormat="1" applyFont="1" applyFill="1" applyBorder="1" applyAlignment="1" applyProtection="1">
      <alignment vertical="center"/>
      <protection hidden="1"/>
    </xf>
    <xf numFmtId="0" fontId="23" fillId="0" borderId="14" xfId="0" applyFont="1" applyBorder="1" applyAlignment="1">
      <alignment vertical="center"/>
    </xf>
    <xf numFmtId="0" fontId="1" fillId="0" borderId="0" xfId="0" applyFont="1"/>
    <xf numFmtId="3" fontId="9" fillId="0" borderId="0" xfId="4" applyNumberFormat="1" applyFont="1" applyFill="1" applyBorder="1" applyAlignment="1" applyProtection="1">
      <alignment horizontal="center" vertical="center"/>
      <protection locked="0"/>
    </xf>
    <xf numFmtId="0" fontId="0" fillId="6" borderId="1" xfId="0" applyFill="1" applyBorder="1"/>
    <xf numFmtId="6" fontId="0" fillId="0" borderId="11" xfId="0" applyNumberFormat="1" applyBorder="1"/>
    <xf numFmtId="6" fontId="0" fillId="0" borderId="14" xfId="0" applyNumberFormat="1" applyBorder="1"/>
    <xf numFmtId="2" fontId="0" fillId="2" borderId="1" xfId="0" applyNumberFormat="1" applyFill="1" applyBorder="1" applyAlignment="1" applyProtection="1">
      <alignment horizontal="center"/>
      <protection hidden="1"/>
    </xf>
    <xf numFmtId="0" fontId="0" fillId="0" borderId="0" xfId="0" applyAlignment="1">
      <alignment horizontal="right"/>
    </xf>
    <xf numFmtId="0" fontId="0" fillId="0" borderId="0" xfId="0" applyAlignment="1">
      <alignment vertical="center"/>
    </xf>
    <xf numFmtId="0" fontId="18" fillId="5" borderId="50" xfId="0" applyFont="1" applyFill="1" applyBorder="1" applyAlignment="1">
      <alignment horizontal="center" vertical="center"/>
    </xf>
    <xf numFmtId="0" fontId="18" fillId="5" borderId="42" xfId="0" applyFont="1" applyFill="1" applyBorder="1" applyAlignment="1">
      <alignment horizontal="center" vertical="center" wrapText="1"/>
    </xf>
    <xf numFmtId="175" fontId="0" fillId="0" borderId="0" xfId="0" applyNumberFormat="1"/>
    <xf numFmtId="0" fontId="18" fillId="0" borderId="0" xfId="0" applyFont="1" applyAlignment="1">
      <alignment horizontal="center" vertical="center" wrapText="1"/>
    </xf>
    <xf numFmtId="0" fontId="27" fillId="0" borderId="0" xfId="0" applyFont="1" applyAlignment="1">
      <alignment vertical="center" wrapText="1"/>
    </xf>
    <xf numFmtId="0" fontId="27" fillId="0" borderId="0" xfId="0" applyFont="1" applyAlignment="1">
      <alignment vertical="center"/>
    </xf>
    <xf numFmtId="0" fontId="18" fillId="5" borderId="25" xfId="0" applyFont="1" applyFill="1" applyBorder="1" applyAlignment="1">
      <alignment horizontal="center"/>
    </xf>
    <xf numFmtId="0" fontId="18" fillId="5" borderId="18" xfId="0" applyFont="1" applyFill="1" applyBorder="1" applyAlignment="1">
      <alignment horizontal="center"/>
    </xf>
    <xf numFmtId="0" fontId="18" fillId="5" borderId="26" xfId="0" applyFont="1" applyFill="1" applyBorder="1" applyAlignment="1">
      <alignment horizontal="center"/>
    </xf>
    <xf numFmtId="0" fontId="18" fillId="0" borderId="62" xfId="0" applyFont="1" applyBorder="1" applyAlignment="1">
      <alignment horizontal="center"/>
    </xf>
    <xf numFmtId="0" fontId="0" fillId="0" borderId="0" xfId="0" applyAlignment="1">
      <alignment horizontal="left" vertical="center"/>
    </xf>
    <xf numFmtId="2" fontId="0" fillId="0" borderId="0" xfId="0" applyNumberFormat="1"/>
    <xf numFmtId="165" fontId="1" fillId="0" borderId="0" xfId="0" applyNumberFormat="1" applyFont="1"/>
    <xf numFmtId="165" fontId="0" fillId="0" borderId="1" xfId="3" applyNumberFormat="1" applyFont="1" applyBorder="1" applyProtection="1">
      <protection hidden="1"/>
    </xf>
    <xf numFmtId="0" fontId="0" fillId="4" borderId="42" xfId="0" applyFill="1" applyBorder="1"/>
    <xf numFmtId="168" fontId="0" fillId="0" borderId="45" xfId="0" applyNumberFormat="1" applyBorder="1" applyProtection="1">
      <protection hidden="1"/>
    </xf>
    <xf numFmtId="0" fontId="0" fillId="0" borderId="69" xfId="0" applyBorder="1"/>
    <xf numFmtId="168" fontId="0" fillId="2" borderId="56" xfId="4" applyNumberFormat="1" applyFont="1" applyFill="1" applyBorder="1" applyProtection="1">
      <protection hidden="1"/>
    </xf>
    <xf numFmtId="0" fontId="18" fillId="5" borderId="33" xfId="0" applyFont="1" applyFill="1" applyBorder="1" applyAlignment="1">
      <alignment horizontal="center" vertical="center" wrapText="1"/>
    </xf>
    <xf numFmtId="167" fontId="0" fillId="0" borderId="0" xfId="2" applyNumberFormat="1" applyFont="1"/>
    <xf numFmtId="44" fontId="0" fillId="0" borderId="0" xfId="0" applyNumberFormat="1"/>
    <xf numFmtId="1" fontId="23" fillId="2" borderId="10" xfId="0" applyNumberFormat="1" applyFont="1" applyFill="1" applyBorder="1" applyAlignment="1" applyProtection="1">
      <alignment horizontal="right" vertical="center"/>
      <protection hidden="1"/>
    </xf>
    <xf numFmtId="2" fontId="0" fillId="0" borderId="1" xfId="0" applyNumberFormat="1" applyBorder="1" applyAlignment="1">
      <alignment horizontal="center" wrapText="1"/>
    </xf>
    <xf numFmtId="0" fontId="3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168" fontId="0" fillId="0" borderId="18" xfId="0" applyNumberFormat="1" applyBorder="1"/>
    <xf numFmtId="0" fontId="18" fillId="5" borderId="5" xfId="0" applyFont="1" applyFill="1" applyBorder="1" applyAlignment="1">
      <alignment horizontal="center" vertical="center" wrapText="1"/>
    </xf>
    <xf numFmtId="0" fontId="9" fillId="0" borderId="1" xfId="0" applyFont="1" applyBorder="1"/>
    <xf numFmtId="0" fontId="9" fillId="0" borderId="13" xfId="0" applyFont="1" applyBorder="1"/>
    <xf numFmtId="168" fontId="0" fillId="0" borderId="16" xfId="0" applyNumberFormat="1" applyBorder="1" applyProtection="1">
      <protection hidden="1"/>
    </xf>
    <xf numFmtId="168" fontId="0" fillId="0" borderId="21" xfId="0" applyNumberFormat="1" applyBorder="1" applyProtection="1">
      <protection hidden="1"/>
    </xf>
    <xf numFmtId="168" fontId="0" fillId="0" borderId="17" xfId="0" applyNumberFormat="1" applyBorder="1" applyProtection="1">
      <protection hidden="1"/>
    </xf>
    <xf numFmtId="168" fontId="0" fillId="2" borderId="34" xfId="4" applyNumberFormat="1" applyFont="1" applyFill="1" applyBorder="1" applyProtection="1">
      <protection hidden="1"/>
    </xf>
    <xf numFmtId="168" fontId="0" fillId="2" borderId="2" xfId="4" applyNumberFormat="1" applyFont="1" applyFill="1" applyBorder="1" applyProtection="1">
      <protection hidden="1"/>
    </xf>
    <xf numFmtId="172" fontId="0" fillId="0" borderId="67" xfId="0" applyNumberFormat="1" applyBorder="1"/>
    <xf numFmtId="165" fontId="0" fillId="0" borderId="2" xfId="0" applyNumberFormat="1" applyBorder="1" applyAlignment="1" applyProtection="1">
      <alignment horizontal="center" vertical="center"/>
      <protection hidden="1"/>
    </xf>
    <xf numFmtId="165" fontId="0" fillId="0" borderId="55" xfId="0" applyNumberFormat="1" applyBorder="1" applyAlignment="1" applyProtection="1">
      <alignment horizontal="center" vertical="center"/>
      <protection hidden="1"/>
    </xf>
    <xf numFmtId="0" fontId="18" fillId="5" borderId="8" xfId="0" applyFont="1" applyFill="1" applyBorder="1"/>
    <xf numFmtId="0" fontId="18" fillId="5" borderId="9" xfId="0" applyFont="1" applyFill="1" applyBorder="1"/>
    <xf numFmtId="9" fontId="0" fillId="0" borderId="13" xfId="3" applyFont="1" applyFill="1" applyBorder="1" applyProtection="1">
      <protection hidden="1"/>
    </xf>
    <xf numFmtId="0" fontId="31" fillId="0" borderId="0" xfId="0" applyFont="1"/>
    <xf numFmtId="169" fontId="0" fillId="0" borderId="1" xfId="0" applyNumberFormat="1" applyBorder="1"/>
    <xf numFmtId="168" fontId="0" fillId="0" borderId="28" xfId="0" applyNumberFormat="1" applyBorder="1" applyProtection="1">
      <protection hidden="1"/>
    </xf>
    <xf numFmtId="165" fontId="0" fillId="0" borderId="9" xfId="0" applyNumberFormat="1" applyBorder="1" applyProtection="1">
      <protection hidden="1"/>
    </xf>
    <xf numFmtId="0" fontId="0" fillId="0" borderId="1" xfId="2" applyNumberFormat="1" applyFont="1" applyFill="1" applyBorder="1" applyAlignment="1" applyProtection="1">
      <alignment horizontal="center"/>
      <protection hidden="1"/>
    </xf>
    <xf numFmtId="172" fontId="0" fillId="0" borderId="57" xfId="0" applyNumberFormat="1" applyBorder="1"/>
    <xf numFmtId="0" fontId="9" fillId="0" borderId="1" xfId="0" applyFont="1" applyBorder="1" applyAlignment="1">
      <alignment horizontal="right"/>
    </xf>
    <xf numFmtId="174" fontId="0" fillId="0" borderId="13" xfId="0" applyNumberFormat="1" applyBorder="1" applyAlignment="1" applyProtection="1">
      <alignment horizontal="center"/>
      <protection hidden="1"/>
    </xf>
    <xf numFmtId="174" fontId="0" fillId="0" borderId="14" xfId="0" applyNumberFormat="1" applyBorder="1" applyAlignment="1" applyProtection="1">
      <alignment horizontal="center"/>
      <protection hidden="1"/>
    </xf>
    <xf numFmtId="0" fontId="0" fillId="0" borderId="39" xfId="0" applyBorder="1" applyAlignment="1">
      <alignment horizontal="left"/>
    </xf>
    <xf numFmtId="0" fontId="0" fillId="0" borderId="57" xfId="0" applyBorder="1"/>
    <xf numFmtId="176" fontId="0" fillId="0" borderId="0" xfId="2" applyNumberFormat="1" applyFont="1" applyFill="1" applyBorder="1" applyAlignment="1" applyProtection="1">
      <alignment horizontal="right"/>
      <protection hidden="1"/>
    </xf>
    <xf numFmtId="175" fontId="0" fillId="0" borderId="0" xfId="2" applyNumberFormat="1" applyFont="1" applyFill="1" applyBorder="1" applyAlignment="1" applyProtection="1">
      <alignment horizontal="right"/>
      <protection locked="0"/>
    </xf>
    <xf numFmtId="176" fontId="0" fillId="0" borderId="0" xfId="2" applyNumberFormat="1" applyFont="1" applyFill="1" applyBorder="1" applyAlignment="1" applyProtection="1">
      <alignment horizontal="right" vertical="center"/>
      <protection hidden="1"/>
    </xf>
    <xf numFmtId="0" fontId="0" fillId="0" borderId="2" xfId="0" applyBorder="1"/>
    <xf numFmtId="0" fontId="0" fillId="0" borderId="62" xfId="0" applyBorder="1"/>
    <xf numFmtId="168" fontId="0" fillId="0" borderId="12" xfId="4" applyNumberFormat="1" applyFont="1" applyFill="1" applyBorder="1" applyProtection="1">
      <protection hidden="1"/>
    </xf>
    <xf numFmtId="0" fontId="0" fillId="0" borderId="0" xfId="0" applyBorder="1"/>
    <xf numFmtId="0" fontId="0" fillId="0" borderId="0" xfId="0" applyAlignment="1">
      <alignment horizontal="left" wrapText="1"/>
    </xf>
    <xf numFmtId="0" fontId="0" fillId="0" borderId="0" xfId="0" applyAlignment="1">
      <alignment horizontal="left"/>
    </xf>
    <xf numFmtId="0" fontId="0" fillId="0" borderId="70" xfId="0" applyBorder="1" applyAlignment="1">
      <alignment horizontal="left"/>
    </xf>
    <xf numFmtId="0" fontId="18" fillId="5" borderId="51" xfId="0" applyFont="1" applyFill="1" applyBorder="1" applyAlignment="1">
      <alignment horizontal="center" vertical="center" wrapText="1"/>
    </xf>
    <xf numFmtId="0" fontId="18" fillId="5" borderId="71" xfId="0" applyFont="1" applyFill="1" applyBorder="1" applyAlignment="1">
      <alignment horizontal="center" vertical="center" wrapText="1"/>
    </xf>
    <xf numFmtId="0" fontId="18" fillId="5" borderId="50" xfId="0" applyFont="1" applyFill="1" applyBorder="1" applyAlignment="1">
      <alignment horizontal="center" vertical="center" wrapText="1"/>
    </xf>
    <xf numFmtId="0" fontId="18" fillId="5" borderId="42"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7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8" fillId="5" borderId="2" xfId="0" applyFont="1" applyFill="1" applyBorder="1" applyAlignment="1">
      <alignment horizontal="center"/>
    </xf>
    <xf numFmtId="0" fontId="18" fillId="5" borderId="3" xfId="0" applyFont="1" applyFill="1"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18" fillId="5" borderId="2" xfId="0" applyFont="1" applyFill="1" applyBorder="1" applyAlignment="1">
      <alignment horizontal="center" vertical="center"/>
    </xf>
    <xf numFmtId="0" fontId="18" fillId="5" borderId="3" xfId="0" applyFont="1" applyFill="1" applyBorder="1" applyAlignment="1">
      <alignment horizontal="center" vertical="center"/>
    </xf>
    <xf numFmtId="0" fontId="18" fillId="5" borderId="1" xfId="0" applyFont="1" applyFill="1" applyBorder="1" applyAlignment="1">
      <alignment horizont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xf>
    <xf numFmtId="0" fontId="18" fillId="5" borderId="51" xfId="0" applyFont="1" applyFill="1" applyBorder="1" applyAlignment="1">
      <alignment horizontal="center" vertical="center"/>
    </xf>
    <xf numFmtId="0" fontId="18" fillId="5" borderId="50" xfId="0" applyFont="1" applyFill="1" applyBorder="1" applyAlignment="1">
      <alignment horizontal="center" vertical="center"/>
    </xf>
    <xf numFmtId="0" fontId="18" fillId="5" borderId="42" xfId="0" applyFont="1" applyFill="1" applyBorder="1" applyAlignment="1">
      <alignment horizontal="center" vertical="center"/>
    </xf>
    <xf numFmtId="0" fontId="18" fillId="5" borderId="72" xfId="0" applyFont="1" applyFill="1" applyBorder="1" applyAlignment="1">
      <alignment horizontal="center" vertical="center"/>
    </xf>
    <xf numFmtId="0" fontId="18" fillId="5" borderId="1" xfId="0" applyFont="1" applyFill="1" applyBorder="1" applyAlignment="1">
      <alignment horizontal="center" vertical="center" wrapText="1"/>
    </xf>
    <xf numFmtId="0" fontId="0" fillId="0" borderId="1" xfId="0" applyBorder="1" applyAlignment="1">
      <alignment horizontal="left"/>
    </xf>
    <xf numFmtId="0" fontId="18" fillId="5" borderId="1" xfId="0" applyFont="1" applyFill="1" applyBorder="1" applyAlignment="1">
      <alignment horizontal="center" vertical="center"/>
    </xf>
    <xf numFmtId="0" fontId="18" fillId="5" borderId="29" xfId="0" applyFont="1" applyFill="1" applyBorder="1" applyAlignment="1">
      <alignment horizontal="center"/>
    </xf>
    <xf numFmtId="0" fontId="18" fillId="5" borderId="31" xfId="0" applyFont="1" applyFill="1" applyBorder="1" applyAlignment="1">
      <alignment horizontal="center"/>
    </xf>
    <xf numFmtId="0" fontId="18" fillId="5" borderId="62" xfId="0" applyFont="1" applyFill="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27" fillId="0" borderId="2" xfId="0" applyFont="1" applyBorder="1" applyAlignment="1">
      <alignment vertical="center" wrapText="1"/>
    </xf>
    <xf numFmtId="0" fontId="27" fillId="0" borderId="62" xfId="0" applyFont="1" applyBorder="1" applyAlignment="1">
      <alignment vertical="center" wrapText="1"/>
    </xf>
    <xf numFmtId="0" fontId="27" fillId="0" borderId="3" xfId="0" applyFont="1" applyBorder="1" applyAlignment="1">
      <alignment vertical="center" wrapText="1"/>
    </xf>
    <xf numFmtId="0" fontId="18" fillId="5" borderId="62" xfId="0" applyFont="1" applyFill="1" applyBorder="1" applyAlignment="1">
      <alignment horizontal="center" vertical="center" wrapText="1"/>
    </xf>
    <xf numFmtId="0" fontId="0" fillId="0" borderId="62" xfId="0" applyBorder="1" applyAlignment="1">
      <alignment horizontal="center" vertical="center" wrapText="1"/>
    </xf>
    <xf numFmtId="0" fontId="18" fillId="5" borderId="62" xfId="0" applyFont="1" applyFill="1" applyBorder="1" applyAlignment="1">
      <alignment horizontal="center" vertical="center"/>
    </xf>
    <xf numFmtId="0" fontId="27" fillId="0" borderId="1" xfId="0" applyFont="1" applyBorder="1" applyAlignment="1">
      <alignment horizontal="left"/>
    </xf>
    <xf numFmtId="0" fontId="0" fillId="0" borderId="2" xfId="0" applyBorder="1" applyAlignment="1">
      <alignment horizontal="center"/>
    </xf>
    <xf numFmtId="0" fontId="0" fillId="0" borderId="62" xfId="0" applyBorder="1" applyAlignment="1">
      <alignment horizontal="center"/>
    </xf>
    <xf numFmtId="0" fontId="0" fillId="0" borderId="3" xfId="0" applyBorder="1" applyAlignment="1">
      <alignment horizontal="center"/>
    </xf>
    <xf numFmtId="0" fontId="1" fillId="0" borderId="2"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0" fillId="0" borderId="2" xfId="0" applyBorder="1" applyAlignment="1">
      <alignment horizontal="center" wrapText="1"/>
    </xf>
    <xf numFmtId="0" fontId="0" fillId="0" borderId="62" xfId="0" applyBorder="1" applyAlignment="1">
      <alignment horizontal="center" wrapText="1"/>
    </xf>
    <xf numFmtId="0" fontId="0" fillId="0" borderId="3" xfId="0" applyBorder="1" applyAlignment="1">
      <alignment horizont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8" fillId="0" borderId="1" xfId="0" applyFont="1" applyBorder="1" applyAlignment="1">
      <alignment horizontal="left" vertical="center" wrapText="1"/>
    </xf>
    <xf numFmtId="0" fontId="18" fillId="5" borderId="2" xfId="0" applyFont="1" applyFill="1" applyBorder="1" applyAlignment="1">
      <alignment horizontal="center" wrapText="1"/>
    </xf>
    <xf numFmtId="0" fontId="18" fillId="5" borderId="62" xfId="0" applyFont="1" applyFill="1" applyBorder="1" applyAlignment="1">
      <alignment horizontal="center" wrapText="1"/>
    </xf>
    <xf numFmtId="0" fontId="18" fillId="5" borderId="3" xfId="0" applyFont="1" applyFill="1" applyBorder="1" applyAlignment="1">
      <alignment horizontal="center" wrapText="1"/>
    </xf>
    <xf numFmtId="0" fontId="27" fillId="0" borderId="2" xfId="0" applyFont="1" applyBorder="1" applyAlignment="1">
      <alignment horizontal="left"/>
    </xf>
    <xf numFmtId="0" fontId="27" fillId="0" borderId="62" xfId="0" applyFont="1" applyBorder="1" applyAlignment="1">
      <alignment horizontal="left"/>
    </xf>
    <xf numFmtId="0" fontId="30" fillId="0" borderId="1" xfId="0" applyFont="1" applyBorder="1" applyAlignment="1">
      <alignment horizontal="center" vertical="center" wrapText="1"/>
    </xf>
    <xf numFmtId="0" fontId="18" fillId="5" borderId="8"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4" xfId="0" applyFont="1" applyFill="1" applyBorder="1" applyAlignment="1">
      <alignment horizontal="center"/>
    </xf>
    <xf numFmtId="0" fontId="18" fillId="5" borderId="19" xfId="0" applyFont="1" applyFill="1" applyBorder="1" applyAlignment="1">
      <alignment horizontal="center"/>
    </xf>
    <xf numFmtId="0" fontId="18" fillId="5" borderId="5" xfId="0" applyFont="1" applyFill="1" applyBorder="1" applyAlignment="1">
      <alignment horizontal="center"/>
    </xf>
    <xf numFmtId="176" fontId="0" fillId="0" borderId="18" xfId="2" applyNumberFormat="1" applyFont="1" applyFill="1" applyBorder="1" applyAlignment="1" applyProtection="1">
      <alignment horizontal="center" vertical="center"/>
      <protection hidden="1"/>
    </xf>
    <xf numFmtId="176" fontId="0" fillId="0" borderId="26" xfId="2" applyNumberFormat="1" applyFont="1" applyFill="1" applyBorder="1" applyAlignment="1" applyProtection="1">
      <alignment horizontal="center" vertical="center"/>
      <protection hidden="1"/>
    </xf>
    <xf numFmtId="175" fontId="0" fillId="0" borderId="1" xfId="2" applyNumberFormat="1" applyFont="1" applyFill="1" applyBorder="1" applyAlignment="1" applyProtection="1">
      <alignment horizontal="center" vertical="center"/>
      <protection hidden="1"/>
    </xf>
    <xf numFmtId="175" fontId="0" fillId="0" borderId="11" xfId="2" applyNumberFormat="1" applyFont="1" applyFill="1" applyBorder="1" applyAlignment="1" applyProtection="1">
      <alignment horizontal="center" vertical="center"/>
      <protection hidden="1"/>
    </xf>
    <xf numFmtId="0" fontId="18" fillId="5" borderId="37" xfId="0" applyFont="1" applyFill="1" applyBorder="1" applyAlignment="1">
      <alignment horizontal="center" vertical="center"/>
    </xf>
    <xf numFmtId="0" fontId="18" fillId="5" borderId="80" xfId="0" applyFont="1" applyFill="1" applyBorder="1" applyAlignment="1">
      <alignment horizontal="center" vertical="center"/>
    </xf>
    <xf numFmtId="0" fontId="0" fillId="4" borderId="23" xfId="0" applyFill="1" applyBorder="1" applyAlignment="1">
      <alignment horizontal="right" vertical="center" wrapText="1"/>
    </xf>
    <xf numFmtId="0" fontId="0" fillId="4" borderId="24" xfId="0" applyFill="1" applyBorder="1" applyAlignment="1">
      <alignment horizontal="right" vertical="center" wrapText="1"/>
    </xf>
    <xf numFmtId="0" fontId="0" fillId="4" borderId="25" xfId="0" applyFill="1" applyBorder="1" applyAlignment="1">
      <alignment horizontal="right" vertical="center" wrapText="1"/>
    </xf>
    <xf numFmtId="0" fontId="0" fillId="4" borderId="18" xfId="0" applyFill="1" applyBorder="1" applyAlignment="1">
      <alignment horizontal="right" vertical="center" wrapText="1"/>
    </xf>
    <xf numFmtId="0" fontId="24" fillId="0" borderId="0" xfId="0" applyFont="1" applyAlignment="1">
      <alignment vertical="center" wrapText="1"/>
    </xf>
    <xf numFmtId="0" fontId="0" fillId="0" borderId="12" xfId="0" applyBorder="1" applyAlignment="1">
      <alignment horizontal="right" vertical="center" wrapText="1"/>
    </xf>
    <xf numFmtId="0" fontId="0" fillId="0" borderId="13" xfId="0" applyBorder="1" applyAlignment="1">
      <alignment horizontal="right" vertical="center" wrapText="1"/>
    </xf>
    <xf numFmtId="168" fontId="0" fillId="0" borderId="13" xfId="4" applyNumberFormat="1" applyFont="1" applyBorder="1" applyAlignment="1" applyProtection="1">
      <alignment horizontal="center" vertical="center" wrapText="1"/>
      <protection hidden="1"/>
    </xf>
    <xf numFmtId="0" fontId="18" fillId="5" borderId="4" xfId="0" applyFont="1" applyFill="1" applyBorder="1" applyAlignment="1">
      <alignment horizontal="center" vertical="center" wrapText="1"/>
    </xf>
    <xf numFmtId="0" fontId="18" fillId="5" borderId="19" xfId="0" applyFont="1" applyFill="1" applyBorder="1" applyAlignment="1">
      <alignment horizontal="center" vertical="center" wrapText="1"/>
    </xf>
    <xf numFmtId="0" fontId="24" fillId="0" borderId="0" xfId="0" applyFont="1" applyAlignment="1">
      <alignment horizontal="left" vertical="center" wrapText="1"/>
    </xf>
    <xf numFmtId="0" fontId="1" fillId="5" borderId="58" xfId="0" applyFont="1" applyFill="1" applyBorder="1" applyAlignment="1">
      <alignment horizontal="center" vertical="center" wrapText="1"/>
    </xf>
    <xf numFmtId="0" fontId="1" fillId="5" borderId="60" xfId="0" applyFont="1" applyFill="1" applyBorder="1" applyAlignment="1">
      <alignment horizontal="center" vertical="center" wrapText="1"/>
    </xf>
    <xf numFmtId="0" fontId="1" fillId="5" borderId="63" xfId="0" applyFont="1" applyFill="1" applyBorder="1" applyAlignment="1">
      <alignment horizontal="center" vertical="center" wrapText="1"/>
    </xf>
    <xf numFmtId="0" fontId="1" fillId="5" borderId="65" xfId="0" applyFont="1" applyFill="1" applyBorder="1" applyAlignment="1">
      <alignment horizontal="center" vertical="center" wrapText="1"/>
    </xf>
    <xf numFmtId="0" fontId="0" fillId="5" borderId="73" xfId="0" applyFill="1" applyBorder="1" applyAlignment="1">
      <alignment horizontal="center" vertical="center" wrapText="1"/>
    </xf>
    <xf numFmtId="0" fontId="0" fillId="5" borderId="76" xfId="0" applyFill="1" applyBorder="1" applyAlignment="1">
      <alignment horizontal="center" vertical="center" wrapText="1"/>
    </xf>
    <xf numFmtId="0" fontId="0" fillId="4" borderId="59" xfId="0" applyFill="1" applyBorder="1" applyAlignment="1">
      <alignment horizontal="center" vertical="center" wrapText="1"/>
    </xf>
    <xf numFmtId="0" fontId="0" fillId="4" borderId="60" xfId="0" applyFill="1" applyBorder="1" applyAlignment="1">
      <alignment horizontal="center" vertical="center" wrapText="1"/>
    </xf>
    <xf numFmtId="0" fontId="0" fillId="4" borderId="64" xfId="0" applyFill="1" applyBorder="1" applyAlignment="1">
      <alignment horizontal="center" vertical="center" wrapText="1"/>
    </xf>
    <xf numFmtId="0" fontId="0" fillId="4" borderId="65" xfId="0" applyFill="1" applyBorder="1" applyAlignment="1">
      <alignment horizontal="center" vertical="center" wrapText="1"/>
    </xf>
    <xf numFmtId="0" fontId="18" fillId="5" borderId="7" xfId="0" applyFont="1" applyFill="1" applyBorder="1" applyAlignment="1">
      <alignment horizontal="center"/>
    </xf>
    <xf numFmtId="0" fontId="18" fillId="5" borderId="8" xfId="0" applyFont="1" applyFill="1" applyBorder="1" applyAlignment="1">
      <alignment horizontal="center"/>
    </xf>
    <xf numFmtId="0" fontId="18" fillId="5" borderId="9" xfId="0" applyFont="1" applyFill="1" applyBorder="1" applyAlignment="1">
      <alignment horizontal="center"/>
    </xf>
    <xf numFmtId="0" fontId="0" fillId="0" borderId="10" xfId="0" applyBorder="1" applyAlignment="1">
      <alignment horizontal="left"/>
    </xf>
    <xf numFmtId="0" fontId="0" fillId="0" borderId="62" xfId="0" applyBorder="1" applyAlignment="1">
      <alignment horizontal="left"/>
    </xf>
    <xf numFmtId="0" fontId="18" fillId="5" borderId="32" xfId="0" applyFont="1" applyFill="1" applyBorder="1" applyAlignment="1">
      <alignment horizontal="center" vertical="center"/>
    </xf>
    <xf numFmtId="0" fontId="18" fillId="5" borderId="79" xfId="0" applyFont="1" applyFill="1" applyBorder="1" applyAlignment="1">
      <alignment horizontal="center" vertical="center"/>
    </xf>
    <xf numFmtId="0" fontId="18" fillId="5" borderId="4" xfId="0" applyFont="1" applyFill="1" applyBorder="1" applyAlignment="1">
      <alignment horizontal="center" wrapText="1"/>
    </xf>
    <xf numFmtId="0" fontId="18" fillId="5" borderId="19" xfId="0" applyFont="1" applyFill="1" applyBorder="1" applyAlignment="1">
      <alignment horizontal="center" wrapText="1"/>
    </xf>
    <xf numFmtId="0" fontId="18" fillId="5" borderId="5" xfId="0" applyFont="1" applyFill="1" applyBorder="1" applyAlignment="1">
      <alignment horizontal="center" wrapText="1"/>
    </xf>
    <xf numFmtId="0" fontId="13" fillId="0" borderId="53"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8" fillId="5" borderId="48" xfId="0" applyFont="1" applyFill="1" applyBorder="1" applyAlignment="1">
      <alignment horizontal="center" vertical="center" wrapText="1"/>
    </xf>
    <xf numFmtId="0" fontId="18" fillId="5" borderId="46" xfId="0" applyFont="1" applyFill="1" applyBorder="1" applyAlignment="1">
      <alignment horizontal="center" vertical="center"/>
    </xf>
    <xf numFmtId="0" fontId="18" fillId="5" borderId="46" xfId="0" applyFont="1" applyFill="1" applyBorder="1" applyAlignment="1">
      <alignment horizontal="center" vertical="center" wrapText="1"/>
    </xf>
    <xf numFmtId="0" fontId="21" fillId="0" borderId="52" xfId="0" applyFont="1" applyBorder="1" applyAlignment="1">
      <alignment horizontal="left" vertical="top" wrapText="1"/>
    </xf>
    <xf numFmtId="0" fontId="21" fillId="0" borderId="57" xfId="0" applyFont="1" applyBorder="1" applyAlignment="1">
      <alignment horizontal="left" vertical="top" wrapText="1"/>
    </xf>
    <xf numFmtId="0" fontId="21" fillId="0" borderId="61" xfId="0" applyFont="1" applyBorder="1" applyAlignment="1">
      <alignment horizontal="left" vertical="top" wrapText="1"/>
    </xf>
    <xf numFmtId="0" fontId="21" fillId="0" borderId="6" xfId="0" applyFont="1" applyBorder="1" applyAlignment="1">
      <alignment horizontal="left" vertical="top" wrapText="1"/>
    </xf>
    <xf numFmtId="0" fontId="18" fillId="5" borderId="20" xfId="0" applyFont="1" applyFill="1" applyBorder="1" applyAlignment="1">
      <alignment horizontal="center" vertical="center"/>
    </xf>
    <xf numFmtId="0" fontId="18" fillId="5" borderId="23" xfId="0" applyFont="1" applyFill="1" applyBorder="1" applyAlignment="1">
      <alignment horizontal="center" vertical="center"/>
    </xf>
    <xf numFmtId="174" fontId="0" fillId="0" borderId="2" xfId="2" applyNumberFormat="1" applyFont="1" applyFill="1" applyBorder="1" applyAlignment="1" applyProtection="1">
      <alignment horizontal="center"/>
      <protection hidden="1"/>
    </xf>
    <xf numFmtId="174" fontId="0" fillId="0" borderId="3" xfId="2" applyNumberFormat="1" applyFont="1" applyFill="1" applyBorder="1" applyAlignment="1" applyProtection="1">
      <alignment horizontal="center"/>
      <protection hidden="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62" xfId="0" applyBorder="1" applyAlignment="1">
      <alignment horizontal="left" vertical="center" wrapText="1"/>
    </xf>
    <xf numFmtId="0" fontId="0" fillId="0" borderId="3" xfId="0" applyBorder="1" applyAlignment="1">
      <alignment horizontal="left" vertical="center" wrapText="1"/>
    </xf>
    <xf numFmtId="0" fontId="0" fillId="0" borderId="1" xfId="0" applyBorder="1" applyAlignment="1">
      <alignment horizontal="left" vertical="center"/>
    </xf>
    <xf numFmtId="0" fontId="19" fillId="5" borderId="1" xfId="0" applyFont="1" applyFill="1" applyBorder="1" applyAlignment="1">
      <alignment horizontal="center"/>
    </xf>
    <xf numFmtId="174" fontId="0" fillId="0" borderId="1" xfId="2" applyNumberFormat="1" applyFont="1" applyFill="1" applyBorder="1" applyAlignment="1" applyProtection="1">
      <alignment horizontal="center"/>
      <protection hidden="1"/>
    </xf>
    <xf numFmtId="0" fontId="25" fillId="0" borderId="36" xfId="0" applyFont="1" applyBorder="1" applyAlignment="1">
      <alignment horizontal="left" wrapText="1"/>
    </xf>
    <xf numFmtId="0" fontId="25" fillId="0" borderId="75" xfId="0" applyFont="1" applyBorder="1" applyAlignment="1">
      <alignment horizontal="left" wrapText="1"/>
    </xf>
    <xf numFmtId="0" fontId="25" fillId="0" borderId="68" xfId="0" applyFont="1" applyBorder="1" applyAlignment="1">
      <alignment horizontal="left" wrapText="1"/>
    </xf>
    <xf numFmtId="0" fontId="18" fillId="5" borderId="41" xfId="0" applyFont="1" applyFill="1" applyBorder="1" applyAlignment="1">
      <alignment horizontal="center"/>
    </xf>
    <xf numFmtId="0" fontId="18" fillId="5" borderId="68" xfId="0" applyFont="1" applyFill="1" applyBorder="1" applyAlignment="1">
      <alignment horizontal="center"/>
    </xf>
    <xf numFmtId="0" fontId="18" fillId="5" borderId="10"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13" xfId="0" applyFont="1" applyFill="1" applyBorder="1" applyAlignment="1">
      <alignment horizontal="center" vertical="center"/>
    </xf>
    <xf numFmtId="0" fontId="18" fillId="5" borderId="11" xfId="0" applyFont="1" applyFill="1" applyBorder="1" applyAlignment="1">
      <alignment horizontal="center" vertical="center"/>
    </xf>
    <xf numFmtId="0" fontId="18" fillId="5" borderId="14" xfId="0" applyFont="1" applyFill="1" applyBorder="1" applyAlignment="1">
      <alignment horizontal="center" vertical="center"/>
    </xf>
    <xf numFmtId="0" fontId="18" fillId="5" borderId="16" xfId="0" applyFont="1" applyFill="1" applyBorder="1" applyAlignment="1">
      <alignment horizontal="center" vertical="center"/>
    </xf>
    <xf numFmtId="0" fontId="18" fillId="5" borderId="24" xfId="0" applyFont="1" applyFill="1" applyBorder="1" applyAlignment="1">
      <alignment horizontal="center" vertical="center"/>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74" fontId="0" fillId="0" borderId="21" xfId="2" applyNumberFormat="1" applyFont="1" applyFill="1" applyBorder="1" applyAlignment="1" applyProtection="1">
      <alignment horizontal="right" vertical="center"/>
      <protection hidden="1"/>
    </xf>
    <xf numFmtId="174" fontId="0" fillId="0" borderId="17" xfId="2" applyNumberFormat="1" applyFont="1" applyFill="1" applyBorder="1" applyAlignment="1" applyProtection="1">
      <alignment horizontal="right" vertical="center"/>
      <protection hidden="1"/>
    </xf>
    <xf numFmtId="174" fontId="0" fillId="0" borderId="18" xfId="2" applyNumberFormat="1" applyFont="1" applyFill="1" applyBorder="1" applyAlignment="1" applyProtection="1">
      <alignment horizontal="right" vertical="center"/>
      <protection hidden="1"/>
    </xf>
    <xf numFmtId="0" fontId="0" fillId="0" borderId="21" xfId="0" applyBorder="1" applyAlignment="1">
      <alignment horizontal="center" vertical="center" wrapText="1"/>
    </xf>
    <xf numFmtId="0" fontId="0" fillId="0" borderId="49" xfId="0" applyBorder="1" applyAlignment="1">
      <alignment horizontal="center" vertical="center" wrapText="1"/>
    </xf>
    <xf numFmtId="0" fontId="0" fillId="0" borderId="23" xfId="0" applyBorder="1" applyAlignment="1">
      <alignment horizontal="center" vertical="center" wrapText="1"/>
    </xf>
    <xf numFmtId="0" fontId="0" fillId="0" borderId="20" xfId="0" applyBorder="1" applyAlignment="1">
      <alignment horizontal="center" vertical="center" wrapText="1"/>
    </xf>
    <xf numFmtId="174" fontId="0" fillId="0" borderId="17" xfId="2" applyNumberFormat="1" applyFont="1" applyFill="1" applyBorder="1" applyAlignment="1" applyProtection="1">
      <alignment horizontal="right" vertical="center" wrapText="1"/>
      <protection hidden="1"/>
    </xf>
    <xf numFmtId="174" fontId="0" fillId="0" borderId="18" xfId="2" applyNumberFormat="1" applyFont="1" applyFill="1" applyBorder="1" applyAlignment="1" applyProtection="1">
      <alignment horizontal="right" vertical="center" wrapText="1"/>
      <protection hidden="1"/>
    </xf>
    <xf numFmtId="174" fontId="0" fillId="0" borderId="21" xfId="2" applyNumberFormat="1" applyFont="1" applyFill="1" applyBorder="1" applyAlignment="1" applyProtection="1">
      <alignment horizontal="right" vertical="center" wrapText="1"/>
      <protection hidden="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27" fillId="0" borderId="51" xfId="0" applyFont="1" applyBorder="1" applyAlignment="1">
      <alignment horizontal="left" vertical="top" wrapText="1"/>
    </xf>
    <xf numFmtId="0" fontId="27" fillId="0" borderId="71" xfId="0" applyFont="1" applyBorder="1" applyAlignment="1">
      <alignment horizontal="left" vertical="top" wrapText="1"/>
    </xf>
    <xf numFmtId="0" fontId="27" fillId="0" borderId="50" xfId="0" applyFont="1" applyBorder="1" applyAlignment="1">
      <alignment horizontal="left" vertical="top" wrapText="1"/>
    </xf>
    <xf numFmtId="0" fontId="0" fillId="0" borderId="16" xfId="0" applyBorder="1" applyAlignment="1">
      <alignment horizontal="left" vertical="center" wrapText="1"/>
    </xf>
  </cellXfs>
  <cellStyles count="10">
    <cellStyle name="Comma" xfId="4" builtinId="3"/>
    <cellStyle name="Comma 2" xfId="8" xr:uid="{00000000-0005-0000-0000-000001000000}"/>
    <cellStyle name="Currency" xfId="2" builtinId="4"/>
    <cellStyle name="Currency 2 2" xfId="7" xr:uid="{00000000-0005-0000-0000-000003000000}"/>
    <cellStyle name="Hyperlink" xfId="1" builtinId="8"/>
    <cellStyle name="Normal" xfId="0" builtinId="0"/>
    <cellStyle name="Normal 3 2" xfId="6" xr:uid="{00000000-0005-0000-0000-000006000000}"/>
    <cellStyle name="Normal_New Chillers" xfId="5" xr:uid="{00000000-0005-0000-0000-000007000000}"/>
    <cellStyle name="Percent" xfId="3" builtinId="5"/>
    <cellStyle name="Percent 2 2" xfId="9" xr:uid="{00000000-0005-0000-0000-000009000000}"/>
  </cellStyles>
  <dxfs count="0"/>
  <tableStyles count="0" defaultTableStyle="TableStyleMedium2" defaultPivotStyle="PivotStyleLight16"/>
  <colors>
    <mruColors>
      <color rgb="FFCC33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hartsheet" Target="chartsheets/sheet2.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hartsheet" Target="chartsheets/sheet1.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hartsheet" Target="chartsheets/sheet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hartsheet" Target="chartsheets/sheet6.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hartsheet" Target="chartsheets/sheet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hartsheet" Target="chartsheets/sheet5.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a:t>
            </a:r>
            <a:r>
              <a:rPr lang="en-US" baseline="0"/>
              <a:t> Cooling Energy Consumption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53646488695943"/>
          <c:y val="7.500634549896322E-2"/>
          <c:w val="0.87128907977653547"/>
          <c:h val="0.78129366013794166"/>
        </c:manualLayout>
      </c:layout>
      <c:barChart>
        <c:barDir val="col"/>
        <c:grouping val="stacked"/>
        <c:varyColors val="0"/>
        <c:ser>
          <c:idx val="0"/>
          <c:order val="0"/>
          <c:tx>
            <c:v>Total Occupied Site Cooling Energy</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8F2B-4ECC-AB58-E2F065AA2A8F}"/>
            </c:ext>
          </c:extLst>
        </c:ser>
        <c:ser>
          <c:idx val="1"/>
          <c:order val="1"/>
          <c:tx>
            <c:v>Total Unoccupied Site Cooling Energy</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8F2B-4ECC-AB58-E2F065AA2A8F}"/>
            </c:ext>
          </c:extLst>
        </c:ser>
        <c:dLbls>
          <c:showLegendKey val="0"/>
          <c:showVal val="0"/>
          <c:showCatName val="0"/>
          <c:showSerName val="0"/>
          <c:showPercent val="0"/>
          <c:showBubbleSize val="0"/>
        </c:dLbls>
        <c:gapWidth val="150"/>
        <c:overlap val="100"/>
        <c:axId val="511930320"/>
        <c:axId val="511927696"/>
      </c:barChart>
      <c:catAx>
        <c:axId val="511930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927696"/>
        <c:crosses val="autoZero"/>
        <c:auto val="1"/>
        <c:lblAlgn val="ctr"/>
        <c:lblOffset val="100"/>
        <c:noMultiLvlLbl val="0"/>
      </c:catAx>
      <c:valAx>
        <c:axId val="51192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Cooling Energy Consumption (kBtu)</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1930320"/>
        <c:crosses val="autoZero"/>
        <c:crossBetween val="between"/>
      </c:valAx>
      <c:spPr>
        <a:noFill/>
        <a:ln>
          <a:noFill/>
        </a:ln>
        <a:effectLst/>
      </c:spPr>
    </c:plotArea>
    <c:legend>
      <c:legendPos val="b"/>
      <c:layout>
        <c:manualLayout>
          <c:xMode val="edge"/>
          <c:yMode val="edge"/>
          <c:x val="4.9291565803056506E-2"/>
          <c:y val="0.95576239776740335"/>
          <c:w val="0.4588249541858842"/>
          <c:h val="3.41262048884386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Site Heating Energy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v>Total Occupied Heating Energy</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A607-41C9-B0C6-2826B29B557D}"/>
            </c:ext>
          </c:extLst>
        </c:ser>
        <c:ser>
          <c:idx val="1"/>
          <c:order val="1"/>
          <c:tx>
            <c:v>Total Unoccupied Heating Energy</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A607-41C9-B0C6-2826B29B557D}"/>
            </c:ext>
          </c:extLst>
        </c:ser>
        <c:dLbls>
          <c:showLegendKey val="0"/>
          <c:showVal val="0"/>
          <c:showCatName val="0"/>
          <c:showSerName val="0"/>
          <c:showPercent val="0"/>
          <c:showBubbleSize val="0"/>
        </c:dLbls>
        <c:gapWidth val="150"/>
        <c:overlap val="100"/>
        <c:axId val="592537800"/>
        <c:axId val="592538784"/>
      </c:barChart>
      <c:catAx>
        <c:axId val="59253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2538784"/>
        <c:crosses val="autoZero"/>
        <c:auto val="1"/>
        <c:lblAlgn val="ctr"/>
        <c:lblOffset val="100"/>
        <c:noMultiLvlLbl val="0"/>
      </c:catAx>
      <c:valAx>
        <c:axId val="592538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Heating</a:t>
                </a:r>
                <a:r>
                  <a:rPr lang="en-US" baseline="0"/>
                  <a:t> Energy Consumption (kBtu)</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2537800"/>
        <c:crosses val="autoZero"/>
        <c:crossBetween val="between"/>
      </c:valAx>
      <c:spPr>
        <a:noFill/>
        <a:ln>
          <a:noFill/>
        </a:ln>
        <a:effectLst/>
      </c:spPr>
    </c:plotArea>
    <c:legend>
      <c:legendPos val="b"/>
      <c:layout>
        <c:manualLayout>
          <c:xMode val="edge"/>
          <c:yMode val="edge"/>
          <c:x val="3.6309741861713402E-2"/>
          <c:y val="0.94969555936090877"/>
          <c:w val="0.44802847630378612"/>
          <c:h val="3.412620488843864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Plant Energy Demand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8.3172244866202408E-2"/>
          <c:y val="7.500634549896322E-2"/>
          <c:w val="0.89382020026221853"/>
          <c:h val="0.81295268407440591"/>
        </c:manualLayout>
      </c:layout>
      <c:barChart>
        <c:barDir val="col"/>
        <c:grouping val="clustered"/>
        <c:varyColors val="0"/>
        <c:ser>
          <c:idx val="0"/>
          <c:order val="0"/>
          <c:tx>
            <c:v>Baseline System (Air-Cooled)</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9AEE-4900-9521-4313D004CAAB}"/>
            </c:ext>
          </c:extLst>
        </c:ser>
        <c:ser>
          <c:idx val="1"/>
          <c:order val="1"/>
          <c:tx>
            <c:v>Baseline System (Water-Cooled)</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9AEE-4900-9521-4313D004CAAB}"/>
            </c:ext>
          </c:extLst>
        </c:ser>
        <c:ser>
          <c:idx val="2"/>
          <c:order val="2"/>
          <c:tx>
            <c:v>Closed Loop</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9AEE-4900-9521-4313D004CAAB}"/>
            </c:ext>
          </c:extLst>
        </c:ser>
        <c:ser>
          <c:idx val="3"/>
          <c:order val="3"/>
          <c:tx>
            <c:v>Standing Column</c:v>
          </c:tx>
          <c:spPr>
            <a:solidFill>
              <a:schemeClr val="accent4"/>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9AEE-4900-9521-4313D004CAAB}"/>
            </c:ext>
          </c:extLst>
        </c:ser>
        <c:ser>
          <c:idx val="4"/>
          <c:order val="4"/>
          <c:tx>
            <c:v>Open Loop</c:v>
          </c:tx>
          <c:spPr>
            <a:solidFill>
              <a:schemeClr val="accent5"/>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9AEE-4900-9521-4313D004CAAB}"/>
            </c:ext>
          </c:extLst>
        </c:ser>
        <c:dLbls>
          <c:showLegendKey val="0"/>
          <c:showVal val="0"/>
          <c:showCatName val="0"/>
          <c:showSerName val="0"/>
          <c:showPercent val="0"/>
          <c:showBubbleSize val="0"/>
        </c:dLbls>
        <c:gapWidth val="219"/>
        <c:overlap val="-27"/>
        <c:axId val="684193632"/>
        <c:axId val="684185104"/>
      </c:barChart>
      <c:catAx>
        <c:axId val="684193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185104"/>
        <c:crosses val="autoZero"/>
        <c:auto val="1"/>
        <c:lblAlgn val="ctr"/>
        <c:lblOffset val="100"/>
        <c:noMultiLvlLbl val="0"/>
      </c:catAx>
      <c:valAx>
        <c:axId val="6841851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Energy Demand (kW)</a:t>
                </a:r>
              </a:p>
            </c:rich>
          </c:tx>
          <c:layout>
            <c:manualLayout>
              <c:xMode val="edge"/>
              <c:yMode val="edge"/>
              <c:x val="8.8224301835482279E-3"/>
              <c:y val="0.3881899197489443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193632"/>
        <c:crosses val="autoZero"/>
        <c:crossBetween val="between"/>
      </c:valAx>
      <c:spPr>
        <a:noFill/>
        <a:ln>
          <a:noFill/>
        </a:ln>
        <a:effectLst/>
      </c:spPr>
    </c:plotArea>
    <c:legend>
      <c:legendPos val="r"/>
      <c:layout>
        <c:manualLayout>
          <c:xMode val="edge"/>
          <c:yMode val="edge"/>
          <c:x val="0.1682696783031665"/>
          <c:y val="0.93247895475858278"/>
          <c:w val="0.71850913434129804"/>
          <c:h val="5.738337418762486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Energy Cost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2"/>
          <c:order val="0"/>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03E0-4878-AA56-AE3C1B496BAF}"/>
            </c:ext>
          </c:extLst>
        </c:ser>
        <c:ser>
          <c:idx val="4"/>
          <c:order val="1"/>
          <c:spPr>
            <a:solidFill>
              <a:schemeClr val="accent5"/>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03E0-4878-AA56-AE3C1B496BAF}"/>
            </c:ext>
          </c:extLst>
        </c:ser>
        <c:ser>
          <c:idx val="7"/>
          <c:order val="2"/>
          <c:spPr>
            <a:solidFill>
              <a:schemeClr val="accent2">
                <a:lumMod val="60000"/>
              </a:schemeClr>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7-03E0-4878-AA56-AE3C1B496BAF}"/>
            </c:ext>
          </c:extLst>
        </c:ser>
        <c:ser>
          <c:idx val="0"/>
          <c:order val="3"/>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8-03E0-4878-AA56-AE3C1B496BAF}"/>
            </c:ext>
          </c:extLst>
        </c:ser>
        <c:ser>
          <c:idx val="1"/>
          <c:order val="4"/>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6="http://schemas.microsoft.com/office/drawing/2014/chart" uri="{C3380CC4-5D6E-409C-BE32-E72D297353CC}">
              <c16:uniqueId val="{00000009-03E0-4878-AA56-AE3C1B496BAF}"/>
            </c:ext>
          </c:extLst>
        </c:ser>
        <c:dLbls>
          <c:showLegendKey val="0"/>
          <c:showVal val="0"/>
          <c:showCatName val="0"/>
          <c:showSerName val="0"/>
          <c:showPercent val="0"/>
          <c:showBubbleSize val="0"/>
        </c:dLbls>
        <c:gapWidth val="150"/>
        <c:overlap val="100"/>
        <c:axId val="568064288"/>
        <c:axId val="568066584"/>
      </c:barChart>
      <c:catAx>
        <c:axId val="56806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066584"/>
        <c:crosses val="autoZero"/>
        <c:auto val="1"/>
        <c:lblAlgn val="ctr"/>
        <c:lblOffset val="100"/>
        <c:noMultiLvlLbl val="0"/>
      </c:catAx>
      <c:valAx>
        <c:axId val="568066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Energy Cost ($/yr)</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8064288"/>
        <c:crosses val="autoZero"/>
        <c:crossBetween val="between"/>
      </c:valAx>
      <c:spPr>
        <a:noFill/>
        <a:ln>
          <a:noFill/>
        </a:ln>
        <a:effectLst/>
      </c:spPr>
    </c:plotArea>
    <c:legend>
      <c:legendPos val="b"/>
      <c:layout>
        <c:manualLayout>
          <c:xMode val="edge"/>
          <c:yMode val="edge"/>
          <c:x val="8.4228736669678412E-3"/>
          <c:y val="0.9317475902231227"/>
          <c:w val="0.99157712633303219"/>
          <c:h val="5.611873296388782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Cooling Energy Consumption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Baseline System (Air-Cooled)</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CC8C-4445-BA9E-8ED2464A47DF}"/>
            </c:ext>
          </c:extLst>
        </c:ser>
        <c:ser>
          <c:idx val="1"/>
          <c:order val="1"/>
          <c:tx>
            <c:v>Baseline System (Water-Cooled)</c:v>
          </c:tx>
          <c:spPr>
            <a:solidFill>
              <a:schemeClr val="accent2"/>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CC8C-4445-BA9E-8ED2464A47DF}"/>
            </c:ext>
          </c:extLst>
        </c:ser>
        <c:ser>
          <c:idx val="2"/>
          <c:order val="2"/>
          <c:tx>
            <c:v>Closed Loop</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CC8C-4445-BA9E-8ED2464A47DF}"/>
            </c:ext>
          </c:extLst>
        </c:ser>
        <c:ser>
          <c:idx val="3"/>
          <c:order val="3"/>
          <c:tx>
            <c:v>Standing Column/Open Loop</c:v>
          </c:tx>
          <c:spPr>
            <a:solidFill>
              <a:schemeClr val="accent4"/>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CC8C-4445-BA9E-8ED2464A47DF}"/>
            </c:ext>
          </c:extLst>
        </c:ser>
        <c:dLbls>
          <c:showLegendKey val="0"/>
          <c:showVal val="0"/>
          <c:showCatName val="0"/>
          <c:showSerName val="0"/>
          <c:showPercent val="0"/>
          <c:showBubbleSize val="0"/>
        </c:dLbls>
        <c:gapWidth val="219"/>
        <c:overlap val="-27"/>
        <c:axId val="651967560"/>
        <c:axId val="651942960"/>
      </c:barChart>
      <c:catAx>
        <c:axId val="6519675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Dry Bulb Temperature (F)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942960"/>
        <c:crosses val="autoZero"/>
        <c:auto val="1"/>
        <c:lblAlgn val="ctr"/>
        <c:lblOffset val="100"/>
        <c:noMultiLvlLbl val="0"/>
      </c:catAx>
      <c:valAx>
        <c:axId val="651942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Energy Consumption (kWh)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967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Heating Energy Consumption (Site)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253030076382331"/>
          <c:y val="7.500634549896322E-2"/>
          <c:w val="0.88343173083112847"/>
          <c:h val="0.78261849204193223"/>
        </c:manualLayout>
      </c:layout>
      <c:barChart>
        <c:barDir val="col"/>
        <c:grouping val="clustered"/>
        <c:varyColors val="0"/>
        <c:ser>
          <c:idx val="0"/>
          <c:order val="0"/>
          <c:tx>
            <c:v>Baseline (Condensing Boiler)</c:v>
          </c:tx>
          <c:spPr>
            <a:solidFill>
              <a:schemeClr val="accent1"/>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0C67-4AF5-AB64-F6477CE84AFF}"/>
            </c:ext>
          </c:extLst>
        </c:ser>
        <c:ser>
          <c:idx val="2"/>
          <c:order val="1"/>
          <c:tx>
            <c:v>Closed Loop</c:v>
          </c:tx>
          <c:spPr>
            <a:solidFill>
              <a:schemeClr val="accent3"/>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0C67-4AF5-AB64-F6477CE84AFF}"/>
            </c:ext>
          </c:extLst>
        </c:ser>
        <c:ser>
          <c:idx val="3"/>
          <c:order val="2"/>
          <c:tx>
            <c:v>Standing Column/Open Loop</c:v>
          </c:tx>
          <c:spPr>
            <a:solidFill>
              <a:schemeClr val="accent4"/>
            </a:solidFill>
            <a:ln>
              <a:noFill/>
            </a:ln>
            <a:effectLst/>
          </c:spPr>
          <c:invertIfNegative val="0"/>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0C67-4AF5-AB64-F6477CE84AFF}"/>
            </c:ext>
          </c:extLst>
        </c:ser>
        <c:dLbls>
          <c:showLegendKey val="0"/>
          <c:showVal val="0"/>
          <c:showCatName val="0"/>
          <c:showSerName val="0"/>
          <c:showPercent val="0"/>
          <c:showBubbleSize val="0"/>
        </c:dLbls>
        <c:gapWidth val="219"/>
        <c:overlap val="-27"/>
        <c:axId val="684052264"/>
        <c:axId val="684049968"/>
      </c:barChart>
      <c:catAx>
        <c:axId val="6840522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Dry Bulb Temp (F)</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049968"/>
        <c:crosses val="autoZero"/>
        <c:auto val="1"/>
        <c:lblAlgn val="ctr"/>
        <c:lblOffset val="100"/>
        <c:noMultiLvlLbl val="0"/>
      </c:catAx>
      <c:valAx>
        <c:axId val="6840499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Energy</a:t>
                </a:r>
                <a:r>
                  <a:rPr lang="en-US" baseline="0"/>
                  <a:t> Consumption (kBtu)</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4052264"/>
        <c:crosses val="autoZero"/>
        <c:crossBetween val="between"/>
      </c:valAx>
      <c:spPr>
        <a:noFill/>
        <a:ln>
          <a:noFill/>
        </a:ln>
        <a:effectLst/>
      </c:spPr>
    </c:plotArea>
    <c:legend>
      <c:legendPos val="r"/>
      <c:layout>
        <c:manualLayout>
          <c:xMode val="edge"/>
          <c:yMode val="edge"/>
          <c:x val="0.18165047986147165"/>
          <c:y val="0.92325242410799169"/>
          <c:w val="0.64925294162052061"/>
          <c:h val="7.583643548880722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9"/>
  <sheetViews>
    <sheetView zoomScale="10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100-000000000000}">
  <sheetPr codeName="Chart20"/>
  <sheetViews>
    <sheetView zoomScale="10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200-000000000000}">
  <sheetPr codeName="Chart21"/>
  <sheetViews>
    <sheetView zoomScale="10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300-000000000000}">
  <sheetPr codeName="Chart22"/>
  <sheetViews>
    <sheetView zoomScale="107"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500-000000000000}">
  <sheetPr codeName="Chart24"/>
  <sheetViews>
    <sheetView zoomScale="118"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600-000000000000}">
  <sheetPr codeName="Chart25"/>
  <sheetViews>
    <sheetView zoomScale="11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95249</xdr:colOff>
      <xdr:row>0</xdr:row>
      <xdr:rowOff>152400</xdr:rowOff>
    </xdr:from>
    <xdr:to>
      <xdr:col>14</xdr:col>
      <xdr:colOff>542172</xdr:colOff>
      <xdr:row>22</xdr:row>
      <xdr:rowOff>153944</xdr:rowOff>
    </xdr:to>
    <xdr:pic>
      <xdr:nvPicPr>
        <xdr:cNvPr id="2" name="Picture 1">
          <a:extLst>
            <a:ext uri="{FF2B5EF4-FFF2-40B4-BE49-F238E27FC236}">
              <a16:creationId xmlns:a16="http://schemas.microsoft.com/office/drawing/2014/main" id="{DF2A22BF-82EA-4576-B1D4-2726B7E9C268}"/>
            </a:ext>
          </a:extLst>
        </xdr:cNvPr>
        <xdr:cNvPicPr>
          <a:picLocks noChangeAspect="1"/>
        </xdr:cNvPicPr>
      </xdr:nvPicPr>
      <xdr:blipFill>
        <a:blip xmlns:r="http://schemas.openxmlformats.org/officeDocument/2006/relationships" r:embed="rId1"/>
        <a:stretch>
          <a:fillRect/>
        </a:stretch>
      </xdr:blipFill>
      <xdr:spPr>
        <a:xfrm>
          <a:off x="9953624" y="152400"/>
          <a:ext cx="5761873" cy="422111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8637076" cy="6280042"/>
    <xdr:graphicFrame macro="">
      <xdr:nvGraphicFramePr>
        <xdr:cNvPr id="2" name="Chart 1">
          <a:extLst>
            <a:ext uri="{FF2B5EF4-FFF2-40B4-BE49-F238E27FC236}">
              <a16:creationId xmlns:a16="http://schemas.microsoft.com/office/drawing/2014/main" id="{00000000-0008-0000-1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37076" cy="6280042"/>
    <xdr:graphicFrame macro="">
      <xdr:nvGraphicFramePr>
        <xdr:cNvPr id="2" name="Chart 1">
          <a:extLst>
            <a:ext uri="{FF2B5EF4-FFF2-40B4-BE49-F238E27FC236}">
              <a16:creationId xmlns:a16="http://schemas.microsoft.com/office/drawing/2014/main" id="{00000000-0008-0000-1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7</xdr:col>
      <xdr:colOff>304850</xdr:colOff>
      <xdr:row>37</xdr:row>
      <xdr:rowOff>5786</xdr:rowOff>
    </xdr:from>
    <xdr:to>
      <xdr:col>14</xdr:col>
      <xdr:colOff>257187</xdr:colOff>
      <xdr:row>108</xdr:row>
      <xdr:rowOff>7458</xdr:rowOff>
    </xdr:to>
    <xdr:pic>
      <xdr:nvPicPr>
        <xdr:cNvPr id="3" name="Picture 2">
          <a:extLst>
            <a:ext uri="{FF2B5EF4-FFF2-40B4-BE49-F238E27FC236}">
              <a16:creationId xmlns:a16="http://schemas.microsoft.com/office/drawing/2014/main" id="{73874B01-EE8C-8152-2B4F-BB82F093BEEF}"/>
            </a:ext>
          </a:extLst>
        </xdr:cNvPr>
        <xdr:cNvPicPr>
          <a:picLocks noChangeAspect="1"/>
        </xdr:cNvPicPr>
      </xdr:nvPicPr>
      <xdr:blipFill>
        <a:blip xmlns:r="http://schemas.openxmlformats.org/officeDocument/2006/relationships" r:embed="rId1"/>
        <a:stretch>
          <a:fillRect/>
        </a:stretch>
      </xdr:blipFill>
      <xdr:spPr>
        <a:xfrm>
          <a:off x="9046342" y="7779415"/>
          <a:ext cx="9031813" cy="12169091"/>
        </a:xfrm>
        <a:prstGeom prst="rect">
          <a:avLst/>
        </a:prstGeom>
      </xdr:spPr>
    </xdr:pic>
    <xdr:clientData/>
  </xdr:twoCellAnchor>
  <xdr:twoCellAnchor>
    <xdr:from>
      <xdr:col>14</xdr:col>
      <xdr:colOff>618289</xdr:colOff>
      <xdr:row>101</xdr:row>
      <xdr:rowOff>83553</xdr:rowOff>
    </xdr:from>
    <xdr:to>
      <xdr:col>17</xdr:col>
      <xdr:colOff>372394</xdr:colOff>
      <xdr:row>104</xdr:row>
      <xdr:rowOff>16711</xdr:rowOff>
    </xdr:to>
    <xdr:sp macro="" textlink="">
      <xdr:nvSpPr>
        <xdr:cNvPr id="4" name="TextBox 3">
          <a:extLst>
            <a:ext uri="{FF2B5EF4-FFF2-40B4-BE49-F238E27FC236}">
              <a16:creationId xmlns:a16="http://schemas.microsoft.com/office/drawing/2014/main" id="{130CAEFA-71CD-EADC-49A7-ECD79E54F78E}"/>
            </a:ext>
          </a:extLst>
        </xdr:cNvPr>
        <xdr:cNvSpPr txBox="1"/>
      </xdr:nvSpPr>
      <xdr:spPr>
        <a:xfrm>
          <a:off x="18415000" y="19066711"/>
          <a:ext cx="1709236" cy="4846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ASHRAE</a:t>
          </a:r>
          <a:r>
            <a:rPr lang="en-US" sz="1100" baseline="0"/>
            <a:t> 90.1 - 2016</a:t>
          </a:r>
          <a:endParaRPr lang="en-US" sz="1100"/>
        </a:p>
      </xdr:txBody>
    </xdr:sp>
    <xdr:clientData/>
  </xdr:twoCellAnchor>
  <xdr:twoCellAnchor editAs="oneCell">
    <xdr:from>
      <xdr:col>14</xdr:col>
      <xdr:colOff>368711</xdr:colOff>
      <xdr:row>37</xdr:row>
      <xdr:rowOff>8494</xdr:rowOff>
    </xdr:from>
    <xdr:to>
      <xdr:col>24</xdr:col>
      <xdr:colOff>608532</xdr:colOff>
      <xdr:row>72</xdr:row>
      <xdr:rowOff>92973</xdr:rowOff>
    </xdr:to>
    <xdr:pic>
      <xdr:nvPicPr>
        <xdr:cNvPr id="5" name="Picture 4">
          <a:extLst>
            <a:ext uri="{FF2B5EF4-FFF2-40B4-BE49-F238E27FC236}">
              <a16:creationId xmlns:a16="http://schemas.microsoft.com/office/drawing/2014/main" id="{E90E4D8E-4F49-AC7C-698D-E6D47C397C11}"/>
            </a:ext>
          </a:extLst>
        </xdr:cNvPr>
        <xdr:cNvPicPr>
          <a:picLocks noChangeAspect="1"/>
        </xdr:cNvPicPr>
      </xdr:nvPicPr>
      <xdr:blipFill>
        <a:blip xmlns:r="http://schemas.openxmlformats.org/officeDocument/2006/relationships" r:embed="rId2"/>
        <a:stretch>
          <a:fillRect/>
        </a:stretch>
      </xdr:blipFill>
      <xdr:spPr>
        <a:xfrm>
          <a:off x="18189679" y="7782123"/>
          <a:ext cx="6864919" cy="5615124"/>
        </a:xfrm>
        <a:prstGeom prst="rect">
          <a:avLst/>
        </a:prstGeom>
      </xdr:spPr>
    </xdr:pic>
    <xdr:clientData/>
  </xdr:twoCellAnchor>
  <xdr:twoCellAnchor>
    <xdr:from>
      <xdr:col>7</xdr:col>
      <xdr:colOff>501598</xdr:colOff>
      <xdr:row>54</xdr:row>
      <xdr:rowOff>151094</xdr:rowOff>
    </xdr:from>
    <xdr:to>
      <xdr:col>8</xdr:col>
      <xdr:colOff>260554</xdr:colOff>
      <xdr:row>57</xdr:row>
      <xdr:rowOff>64677</xdr:rowOff>
    </xdr:to>
    <xdr:sp macro="" textlink="">
      <xdr:nvSpPr>
        <xdr:cNvPr id="6" name="Rectangle 5">
          <a:extLst>
            <a:ext uri="{FF2B5EF4-FFF2-40B4-BE49-F238E27FC236}">
              <a16:creationId xmlns:a16="http://schemas.microsoft.com/office/drawing/2014/main" id="{E215BD31-2C1A-E56F-EB60-7A6190AED326}"/>
            </a:ext>
          </a:extLst>
        </xdr:cNvPr>
        <xdr:cNvSpPr/>
      </xdr:nvSpPr>
      <xdr:spPr>
        <a:xfrm>
          <a:off x="9264598" y="10307125"/>
          <a:ext cx="1163894" cy="449365"/>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379779</xdr:colOff>
      <xdr:row>64</xdr:row>
      <xdr:rowOff>1395</xdr:rowOff>
    </xdr:from>
    <xdr:to>
      <xdr:col>9</xdr:col>
      <xdr:colOff>839589</xdr:colOff>
      <xdr:row>65</xdr:row>
      <xdr:rowOff>59531</xdr:rowOff>
    </xdr:to>
    <xdr:sp macro="" textlink="">
      <xdr:nvSpPr>
        <xdr:cNvPr id="7" name="Rectangle 6">
          <a:extLst>
            <a:ext uri="{FF2B5EF4-FFF2-40B4-BE49-F238E27FC236}">
              <a16:creationId xmlns:a16="http://schemas.microsoft.com/office/drawing/2014/main" id="{649793D9-935A-42E5-A363-025741BD3EC9}"/>
            </a:ext>
          </a:extLst>
        </xdr:cNvPr>
        <xdr:cNvSpPr/>
      </xdr:nvSpPr>
      <xdr:spPr>
        <a:xfrm>
          <a:off x="10547717" y="11943364"/>
          <a:ext cx="1162278" cy="23673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504626</xdr:colOff>
      <xdr:row>40</xdr:row>
      <xdr:rowOff>102905</xdr:rowOff>
    </xdr:from>
    <xdr:to>
      <xdr:col>16</xdr:col>
      <xdr:colOff>143028</xdr:colOff>
      <xdr:row>47</xdr:row>
      <xdr:rowOff>112304</xdr:rowOff>
    </xdr:to>
    <xdr:sp macro="" textlink="">
      <xdr:nvSpPr>
        <xdr:cNvPr id="8" name="Rectangle 7">
          <a:extLst>
            <a:ext uri="{FF2B5EF4-FFF2-40B4-BE49-F238E27FC236}">
              <a16:creationId xmlns:a16="http://schemas.microsoft.com/office/drawing/2014/main" id="{D8CCB2B3-9F7A-4C1E-99C8-5BE85A0A3DC2}"/>
            </a:ext>
          </a:extLst>
        </xdr:cNvPr>
        <xdr:cNvSpPr/>
      </xdr:nvSpPr>
      <xdr:spPr>
        <a:xfrm>
          <a:off x="18325594" y="8429599"/>
          <a:ext cx="959611" cy="37810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143031</xdr:colOff>
      <xdr:row>48</xdr:row>
      <xdr:rowOff>177486</xdr:rowOff>
    </xdr:from>
    <xdr:to>
      <xdr:col>17</xdr:col>
      <xdr:colOff>639406</xdr:colOff>
      <xdr:row>51</xdr:row>
      <xdr:rowOff>90070</xdr:rowOff>
    </xdr:to>
    <xdr:sp macro="" textlink="">
      <xdr:nvSpPr>
        <xdr:cNvPr id="9" name="Rectangle 8">
          <a:extLst>
            <a:ext uri="{FF2B5EF4-FFF2-40B4-BE49-F238E27FC236}">
              <a16:creationId xmlns:a16="http://schemas.microsoft.com/office/drawing/2014/main" id="{8EFB9222-BC11-4746-B735-C4A96F6741C2}"/>
            </a:ext>
          </a:extLst>
        </xdr:cNvPr>
        <xdr:cNvSpPr/>
      </xdr:nvSpPr>
      <xdr:spPr>
        <a:xfrm>
          <a:off x="19285208" y="9057244"/>
          <a:ext cx="1156980" cy="46564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169460</xdr:colOff>
      <xdr:row>66</xdr:row>
      <xdr:rowOff>103175</xdr:rowOff>
    </xdr:from>
    <xdr:to>
      <xdr:col>12</xdr:col>
      <xdr:colOff>1331202</xdr:colOff>
      <xdr:row>68</xdr:row>
      <xdr:rowOff>83343</xdr:rowOff>
    </xdr:to>
    <xdr:sp macro="" textlink="">
      <xdr:nvSpPr>
        <xdr:cNvPr id="10" name="Rectangle 9">
          <a:extLst>
            <a:ext uri="{FF2B5EF4-FFF2-40B4-BE49-F238E27FC236}">
              <a16:creationId xmlns:a16="http://schemas.microsoft.com/office/drawing/2014/main" id="{25F955CA-FF98-40B6-A061-073035F0129A}"/>
            </a:ext>
          </a:extLst>
        </xdr:cNvPr>
        <xdr:cNvSpPr/>
      </xdr:nvSpPr>
      <xdr:spPr>
        <a:xfrm>
          <a:off x="15207054" y="12402331"/>
          <a:ext cx="1161742" cy="337356"/>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1648592</xdr:colOff>
      <xdr:row>65</xdr:row>
      <xdr:rowOff>50852</xdr:rowOff>
    </xdr:from>
    <xdr:to>
      <xdr:col>12</xdr:col>
      <xdr:colOff>219843</xdr:colOff>
      <xdr:row>67</xdr:row>
      <xdr:rowOff>127666</xdr:rowOff>
    </xdr:to>
    <xdr:sp macro="" textlink="">
      <xdr:nvSpPr>
        <xdr:cNvPr id="11" name="Arrow: Left-Up 10">
          <a:extLst>
            <a:ext uri="{FF2B5EF4-FFF2-40B4-BE49-F238E27FC236}">
              <a16:creationId xmlns:a16="http://schemas.microsoft.com/office/drawing/2014/main" id="{2BFF7EB1-5F3B-2FD0-23BF-97D23CBC0894}"/>
            </a:ext>
          </a:extLst>
        </xdr:cNvPr>
        <xdr:cNvSpPr/>
      </xdr:nvSpPr>
      <xdr:spPr>
        <a:xfrm rot="9015935">
          <a:off x="14860689" y="12064642"/>
          <a:ext cx="384073" cy="445524"/>
        </a:xfrm>
        <a:prstGeom prst="lef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18</xdr:col>
      <xdr:colOff>522339</xdr:colOff>
      <xdr:row>50</xdr:row>
      <xdr:rowOff>30726</xdr:rowOff>
    </xdr:from>
    <xdr:to>
      <xdr:col>19</xdr:col>
      <xdr:colOff>261169</xdr:colOff>
      <xdr:row>50</xdr:row>
      <xdr:rowOff>46088</xdr:rowOff>
    </xdr:to>
    <xdr:cxnSp macro="">
      <xdr:nvCxnSpPr>
        <xdr:cNvPr id="13" name="Straight Arrow Connector 12">
          <a:extLst>
            <a:ext uri="{FF2B5EF4-FFF2-40B4-BE49-F238E27FC236}">
              <a16:creationId xmlns:a16="http://schemas.microsoft.com/office/drawing/2014/main" id="{FC142779-7A8A-1BA4-FC4F-9087DC5A73E0}"/>
            </a:ext>
          </a:extLst>
        </xdr:cNvPr>
        <xdr:cNvCxnSpPr/>
      </xdr:nvCxnSpPr>
      <xdr:spPr>
        <a:xfrm flipV="1">
          <a:off x="20985726" y="9279194"/>
          <a:ext cx="399435" cy="1536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553065</xdr:colOff>
      <xdr:row>51</xdr:row>
      <xdr:rowOff>138266</xdr:rowOff>
    </xdr:from>
    <xdr:to>
      <xdr:col>19</xdr:col>
      <xdr:colOff>276532</xdr:colOff>
      <xdr:row>52</xdr:row>
      <xdr:rowOff>0</xdr:rowOff>
    </xdr:to>
    <xdr:cxnSp macro="">
      <xdr:nvCxnSpPr>
        <xdr:cNvPr id="15" name="Straight Arrow Connector 14">
          <a:extLst>
            <a:ext uri="{FF2B5EF4-FFF2-40B4-BE49-F238E27FC236}">
              <a16:creationId xmlns:a16="http://schemas.microsoft.com/office/drawing/2014/main" id="{4A81D28D-4DA5-23EB-E6B4-F48CFF5C6CA2}"/>
            </a:ext>
          </a:extLst>
        </xdr:cNvPr>
        <xdr:cNvCxnSpPr/>
      </xdr:nvCxnSpPr>
      <xdr:spPr>
        <a:xfrm>
          <a:off x="21016452" y="9571089"/>
          <a:ext cx="384072" cy="460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15</xdr:row>
      <xdr:rowOff>0</xdr:rowOff>
    </xdr:from>
    <xdr:to>
      <xdr:col>7</xdr:col>
      <xdr:colOff>561064</xdr:colOff>
      <xdr:row>42</xdr:row>
      <xdr:rowOff>18404</xdr:rowOff>
    </xdr:to>
    <xdr:pic>
      <xdr:nvPicPr>
        <xdr:cNvPr id="3" name="Picture 2">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1"/>
        <a:stretch>
          <a:fillRect/>
        </a:stretch>
      </xdr:blipFill>
      <xdr:spPr>
        <a:xfrm>
          <a:off x="723900" y="3571875"/>
          <a:ext cx="7761964" cy="49047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absoluteAnchor>
    <xdr:pos x="0" y="0"/>
    <xdr:ext cx="8652617" cy="6284720"/>
    <xdr:graphicFrame macro="">
      <xdr:nvGraphicFramePr>
        <xdr:cNvPr id="2" name="Chart 1">
          <a:extLst>
            <a:ext uri="{FF2B5EF4-FFF2-40B4-BE49-F238E27FC236}">
              <a16:creationId xmlns:a16="http://schemas.microsoft.com/office/drawing/2014/main" id="{00000000-0008-0000-1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0.52056</cdr:x>
      <cdr:y>0.95116</cdr:y>
    </cdr:from>
    <cdr:to>
      <cdr:x>0.98972</cdr:x>
      <cdr:y>0.98458</cdr:y>
    </cdr:to>
    <cdr:sp macro="" textlink="">
      <cdr:nvSpPr>
        <cdr:cNvPr id="2" name="TextBox 1"/>
        <cdr:cNvSpPr txBox="1"/>
      </cdr:nvSpPr>
      <cdr:spPr>
        <a:xfrm xmlns:a="http://schemas.openxmlformats.org/drawingml/2006/main">
          <a:off x="4496123" y="5973305"/>
          <a:ext cx="4052161" cy="2098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  Total Occupied Source Cooling Energy       Total Unoccupied Source Cooling Energy</a:t>
          </a:r>
        </a:p>
      </cdr:txBody>
    </cdr:sp>
  </cdr:relSizeAnchor>
  <cdr:relSizeAnchor xmlns:cdr="http://schemas.openxmlformats.org/drawingml/2006/chartDrawing">
    <cdr:from>
      <cdr:x>0.52243</cdr:x>
      <cdr:y>0.96787</cdr:y>
    </cdr:from>
    <cdr:to>
      <cdr:x>0.53178</cdr:x>
      <cdr:y>0.97815</cdr:y>
    </cdr:to>
    <cdr:sp macro="" textlink="">
      <cdr:nvSpPr>
        <cdr:cNvPr id="3" name="Rectangle 2"/>
        <cdr:cNvSpPr/>
      </cdr:nvSpPr>
      <cdr:spPr>
        <a:xfrm xmlns:a="http://schemas.openxmlformats.org/drawingml/2006/main">
          <a:off x="4512267" y="6078242"/>
          <a:ext cx="80720" cy="64577"/>
        </a:xfrm>
        <a:prstGeom xmlns:a="http://schemas.openxmlformats.org/drawingml/2006/main" prst="rect">
          <a:avLst/>
        </a:prstGeom>
        <a:solidFill xmlns:a="http://schemas.openxmlformats.org/drawingml/2006/main">
          <a:schemeClr val="accent1">
            <a:lumMod val="50000"/>
          </a:schemeClr>
        </a:solidFill>
        <a:ln xmlns:a="http://schemas.openxmlformats.org/drawingml/2006/main">
          <a:solidFill>
            <a:schemeClr val="accent1">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0.74953</cdr:x>
      <cdr:y>0.96658</cdr:y>
    </cdr:from>
    <cdr:to>
      <cdr:x>0.75701</cdr:x>
      <cdr:y>0.97815</cdr:y>
    </cdr:to>
    <cdr:sp macro="" textlink="">
      <cdr:nvSpPr>
        <cdr:cNvPr id="4" name="Rectangle 3"/>
        <cdr:cNvSpPr/>
      </cdr:nvSpPr>
      <cdr:spPr>
        <a:xfrm xmlns:a="http://schemas.openxmlformats.org/drawingml/2006/main">
          <a:off x="6473771" y="6070170"/>
          <a:ext cx="64577" cy="72648"/>
        </a:xfrm>
        <a:prstGeom xmlns:a="http://schemas.openxmlformats.org/drawingml/2006/main" prst="rect">
          <a:avLst/>
        </a:prstGeom>
        <a:solidFill xmlns:a="http://schemas.openxmlformats.org/drawingml/2006/main">
          <a:schemeClr val="accent6">
            <a:lumMod val="75000"/>
          </a:schemeClr>
        </a:solidFill>
        <a:ln xmlns:a="http://schemas.openxmlformats.org/drawingml/2006/main">
          <a:solidFill>
            <a:schemeClr val="accent6">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absoluteAnchor>
    <xdr:pos x="0" y="0"/>
    <xdr:ext cx="8652617" cy="6284720"/>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0.50187</cdr:x>
      <cdr:y>0.9473</cdr:y>
    </cdr:from>
    <cdr:to>
      <cdr:x>0.98598</cdr:x>
      <cdr:y>0.98458</cdr:y>
    </cdr:to>
    <cdr:sp macro="" textlink="">
      <cdr:nvSpPr>
        <cdr:cNvPr id="2" name="TextBox 1"/>
        <cdr:cNvSpPr txBox="1"/>
      </cdr:nvSpPr>
      <cdr:spPr>
        <a:xfrm xmlns:a="http://schemas.openxmlformats.org/drawingml/2006/main">
          <a:off x="4334682" y="5949089"/>
          <a:ext cx="4181314" cy="2340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t>Total Occupied Source Heating Energy         Total Unoccupied Source Heating Energy</a:t>
          </a:r>
        </a:p>
      </cdr:txBody>
    </cdr:sp>
  </cdr:relSizeAnchor>
  <cdr:relSizeAnchor xmlns:cdr="http://schemas.openxmlformats.org/drawingml/2006/chartDrawing">
    <cdr:from>
      <cdr:x>0.49626</cdr:x>
      <cdr:y>0.96144</cdr:y>
    </cdr:from>
    <cdr:to>
      <cdr:x>0.50467</cdr:x>
      <cdr:y>0.97044</cdr:y>
    </cdr:to>
    <cdr:sp macro="" textlink="">
      <cdr:nvSpPr>
        <cdr:cNvPr id="3" name="Rectangle 2"/>
        <cdr:cNvSpPr/>
      </cdr:nvSpPr>
      <cdr:spPr>
        <a:xfrm xmlns:a="http://schemas.openxmlformats.org/drawingml/2006/main">
          <a:off x="4286250" y="6037881"/>
          <a:ext cx="72648" cy="56505"/>
        </a:xfrm>
        <a:prstGeom xmlns:a="http://schemas.openxmlformats.org/drawingml/2006/main" prst="rect">
          <a:avLst/>
        </a:prstGeom>
        <a:solidFill xmlns:a="http://schemas.openxmlformats.org/drawingml/2006/main">
          <a:srgbClr val="C00000"/>
        </a:solidFill>
        <a:ln xmlns:a="http://schemas.openxmlformats.org/drawingml/2006/main">
          <a:solidFill>
            <a:srgbClr val="C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0.72991</cdr:x>
      <cdr:y>0.96272</cdr:y>
    </cdr:from>
    <cdr:to>
      <cdr:x>0.73738</cdr:x>
      <cdr:y>0.97172</cdr:y>
    </cdr:to>
    <cdr:sp macro="" textlink="">
      <cdr:nvSpPr>
        <cdr:cNvPr id="4" name="Rectangle 3"/>
        <cdr:cNvSpPr/>
      </cdr:nvSpPr>
      <cdr:spPr>
        <a:xfrm xmlns:a="http://schemas.openxmlformats.org/drawingml/2006/main">
          <a:off x="6304258" y="6045953"/>
          <a:ext cx="64577" cy="56505"/>
        </a:xfrm>
        <a:prstGeom xmlns:a="http://schemas.openxmlformats.org/drawingml/2006/main" prst="rect">
          <a:avLst/>
        </a:prstGeom>
        <a:solidFill xmlns:a="http://schemas.openxmlformats.org/drawingml/2006/main">
          <a:schemeClr val="accent2"/>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drawings/drawing8.xml><?xml version="1.0" encoding="utf-8"?>
<xdr:wsDr xmlns:xdr="http://schemas.openxmlformats.org/drawingml/2006/spreadsheetDrawing" xmlns:a="http://schemas.openxmlformats.org/drawingml/2006/main">
  <xdr:absoluteAnchor>
    <xdr:pos x="0" y="0"/>
    <xdr:ext cx="8652617" cy="6284720"/>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2617" cy="6284720"/>
    <xdr:graphicFrame macro="">
      <xdr:nvGraphicFramePr>
        <xdr:cNvPr id="2" name="Chart 1">
          <a:extLst>
            <a:ext uri="{FF2B5EF4-FFF2-40B4-BE49-F238E27FC236}">
              <a16:creationId xmlns:a16="http://schemas.microsoft.com/office/drawing/2014/main" id="{00000000-0008-0000-1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DESKTOP\Jim%20D%20Stuff%202001\Eaton\Final%20Info\Bethel\Energy%20Calc%20Beth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1.nyc.gov/assets/ddc/geothermal/geothermalTool.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portfoliomanager.energystar.gov/pdf/reference/Source%20Energy.pdf" TargetMode="External"/><Relationship Id="rId2" Type="http://schemas.openxmlformats.org/officeDocument/2006/relationships/hyperlink" Target="https://portfoliomanager.energystar.gov/pdf/reference/Source%20Energy.pdf" TargetMode="External"/><Relationship Id="rId1" Type="http://schemas.openxmlformats.org/officeDocument/2006/relationships/hyperlink" Target="https://portfoliomanager.energystar.gov/pdf/reference/Emissions.pdf"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solar-estimate.org/news/2018-04-10-how-many-square-feet-do-you-need-and-how-much-electricity-will-it-produce" TargetMode="External"/><Relationship Id="rId1" Type="http://schemas.openxmlformats.org/officeDocument/2006/relationships/hyperlink" Target="https://www.nrel.gov/docs/fy04osti/35297.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1.nyc.gov/assets/ddc/geothermal/geothermalTool.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N14"/>
  <sheetViews>
    <sheetView view="pageBreakPreview" zoomScaleNormal="100" zoomScaleSheetLayoutView="100" workbookViewId="0">
      <selection activeCell="B11" sqref="B11:G11"/>
    </sheetView>
  </sheetViews>
  <sheetFormatPr defaultRowHeight="15" x14ac:dyDescent="0.25"/>
  <cols>
    <col min="3" max="3" width="13.7109375" customWidth="1"/>
    <col min="5" max="5" width="4.42578125" customWidth="1"/>
    <col min="7" max="7" width="14.140625" customWidth="1"/>
    <col min="10" max="10" width="17.85546875" customWidth="1"/>
    <col min="14" max="14" width="14.85546875" customWidth="1"/>
  </cols>
  <sheetData>
    <row r="2" spans="1:14" x14ac:dyDescent="0.25">
      <c r="B2" s="60" t="s">
        <v>204</v>
      </c>
    </row>
    <row r="3" spans="1:14" x14ac:dyDescent="0.25">
      <c r="B3" t="s">
        <v>361</v>
      </c>
    </row>
    <row r="5" spans="1:14" x14ac:dyDescent="0.25">
      <c r="B5" s="499" t="s">
        <v>309</v>
      </c>
      <c r="C5" s="499"/>
      <c r="D5" s="499"/>
      <c r="E5" s="499"/>
      <c r="F5" s="499"/>
      <c r="G5" s="499"/>
    </row>
    <row r="6" spans="1:14" ht="15" customHeight="1" x14ac:dyDescent="0.25">
      <c r="B6" s="499" t="s">
        <v>337</v>
      </c>
      <c r="C6" s="499"/>
      <c r="D6" s="499"/>
      <c r="E6" s="499"/>
      <c r="F6" s="499"/>
      <c r="G6" s="500"/>
      <c r="H6" s="433"/>
    </row>
    <row r="7" spans="1:14" x14ac:dyDescent="0.25">
      <c r="B7" s="499" t="s">
        <v>362</v>
      </c>
      <c r="C7" s="499"/>
      <c r="D7" s="499"/>
      <c r="E7" s="499"/>
      <c r="F7" s="499"/>
      <c r="G7" s="499"/>
      <c r="H7" s="499"/>
      <c r="I7" s="499"/>
      <c r="J7" s="499"/>
    </row>
    <row r="8" spans="1:14" x14ac:dyDescent="0.25">
      <c r="B8" s="499" t="s">
        <v>334</v>
      </c>
      <c r="C8" s="499"/>
      <c r="D8" s="499"/>
      <c r="E8" s="499"/>
      <c r="F8" s="499"/>
      <c r="G8" s="499"/>
      <c r="H8" s="499"/>
      <c r="I8" s="499"/>
      <c r="J8" s="499"/>
      <c r="K8" s="499"/>
      <c r="L8" s="499"/>
      <c r="M8" s="499"/>
      <c r="N8" s="499"/>
    </row>
    <row r="9" spans="1:14" x14ac:dyDescent="0.25">
      <c r="B9" s="499" t="s">
        <v>358</v>
      </c>
      <c r="C9" s="499"/>
      <c r="D9" s="499"/>
      <c r="E9" s="499"/>
      <c r="F9" s="499"/>
      <c r="G9" s="499"/>
      <c r="H9" s="499"/>
      <c r="I9" s="499"/>
      <c r="J9" s="499"/>
      <c r="K9" s="499"/>
    </row>
    <row r="10" spans="1:14" x14ac:dyDescent="0.25">
      <c r="B10" s="499" t="s">
        <v>357</v>
      </c>
      <c r="C10" s="499"/>
      <c r="D10" s="499"/>
      <c r="E10" s="499"/>
      <c r="F10" s="499"/>
      <c r="G10" s="499"/>
      <c r="H10" s="499"/>
      <c r="I10" s="499"/>
      <c r="J10" s="499"/>
      <c r="K10" s="499"/>
      <c r="L10" s="499"/>
    </row>
    <row r="11" spans="1:14" x14ac:dyDescent="0.25">
      <c r="B11" s="499" t="s">
        <v>335</v>
      </c>
      <c r="C11" s="499"/>
      <c r="D11" s="499"/>
      <c r="E11" s="499"/>
      <c r="F11" s="499"/>
      <c r="G11" s="500"/>
      <c r="H11" s="72"/>
    </row>
    <row r="12" spans="1:14" ht="60" customHeight="1" x14ac:dyDescent="0.25">
      <c r="B12" s="498" t="s">
        <v>336</v>
      </c>
      <c r="C12" s="498"/>
      <c r="D12" s="498"/>
      <c r="E12" s="498"/>
      <c r="F12" s="498"/>
      <c r="G12" s="498"/>
      <c r="H12" s="498"/>
      <c r="I12" s="498"/>
      <c r="J12" s="498"/>
      <c r="K12" s="498"/>
      <c r="L12" s="498"/>
      <c r="M12" s="498"/>
      <c r="N12" s="498"/>
    </row>
    <row r="13" spans="1:14" x14ac:dyDescent="0.25">
      <c r="A13" s="437"/>
    </row>
    <row r="14" spans="1:14" x14ac:dyDescent="0.25">
      <c r="A14" s="437"/>
      <c r="B14" s="34" t="s">
        <v>360</v>
      </c>
      <c r="C14" s="34"/>
      <c r="D14" s="34"/>
      <c r="E14" s="34"/>
      <c r="F14" s="8" t="s">
        <v>141</v>
      </c>
    </row>
  </sheetData>
  <mergeCells count="8">
    <mergeCell ref="B12:N12"/>
    <mergeCell ref="B5:G5"/>
    <mergeCell ref="B8:N8"/>
    <mergeCell ref="B9:K9"/>
    <mergeCell ref="B10:L10"/>
    <mergeCell ref="B11:G11"/>
    <mergeCell ref="B6:G6"/>
    <mergeCell ref="B7:J7"/>
  </mergeCells>
  <hyperlinks>
    <hyperlink ref="F14" r:id="rId1" xr:uid="{00000000-0004-0000-0000-000000000000}"/>
  </hyperlinks>
  <pageMargins left="0.7" right="0.7" top="0.75" bottom="0.75" header="0.3" footer="0.3"/>
  <pageSetup scale="57" fitToHeight="0"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pageSetUpPr fitToPage="1"/>
  </sheetPr>
  <dimension ref="A2:L30"/>
  <sheetViews>
    <sheetView zoomScale="120" zoomScaleNormal="120" zoomScaleSheetLayoutView="100" workbookViewId="0">
      <pane xSplit="4" topLeftCell="E1" activePane="topRight" state="frozen"/>
      <selection pane="topRight" activeCell="B2" sqref="B2:I21"/>
    </sheetView>
  </sheetViews>
  <sheetFormatPr defaultRowHeight="15" x14ac:dyDescent="0.25"/>
  <cols>
    <col min="2" max="2" width="15.28515625" customWidth="1"/>
    <col min="3" max="3" width="7.140625" customWidth="1"/>
    <col min="4" max="4" width="28.5703125" customWidth="1"/>
    <col min="5" max="5" width="20.140625" bestFit="1" customWidth="1"/>
    <col min="6" max="6" width="16.42578125" bestFit="1" customWidth="1"/>
    <col min="7" max="7" width="17.5703125" customWidth="1"/>
    <col min="8" max="8" width="14.7109375" customWidth="1"/>
    <col min="9" max="9" width="14.85546875" customWidth="1"/>
    <col min="10" max="12" width="13.28515625" customWidth="1"/>
    <col min="13" max="13" width="12.42578125" customWidth="1"/>
    <col min="14" max="14" width="12.5703125" customWidth="1"/>
    <col min="15" max="15" width="15.28515625" customWidth="1"/>
  </cols>
  <sheetData>
    <row r="2" spans="2:12" ht="45" x14ac:dyDescent="0.25">
      <c r="B2" s="527" t="s">
        <v>23</v>
      </c>
      <c r="C2" s="527"/>
      <c r="D2" s="527"/>
      <c r="E2" s="69" t="s">
        <v>173</v>
      </c>
      <c r="F2" s="69" t="s">
        <v>176</v>
      </c>
      <c r="G2" s="69" t="s">
        <v>363</v>
      </c>
      <c r="H2" s="69" t="s">
        <v>345</v>
      </c>
      <c r="I2" s="69" t="s">
        <v>346</v>
      </c>
      <c r="K2" s="87"/>
      <c r="L2" s="87"/>
    </row>
    <row r="3" spans="2:12" x14ac:dyDescent="0.25">
      <c r="B3" s="624" t="s">
        <v>409</v>
      </c>
      <c r="C3" s="625"/>
      <c r="D3" s="626"/>
      <c r="E3" s="207">
        <f>('Energy Consumption'!O24+'Energy Consumption'!O40)*B29</f>
        <v>1402786689.2219677</v>
      </c>
      <c r="F3" s="208">
        <f>(E3/1000)/Summary!B5</f>
        <v>11.593278423322047</v>
      </c>
      <c r="G3" s="208">
        <f>F3*E21</f>
        <v>29.56285997947122</v>
      </c>
      <c r="H3" s="209">
        <f>((E3/1000000)*$D$21)</f>
        <v>118591.58670682515</v>
      </c>
      <c r="I3" s="203">
        <f>H3*$B$28</f>
        <v>118.59158670682515</v>
      </c>
      <c r="K3" s="87"/>
      <c r="L3" s="87"/>
    </row>
    <row r="4" spans="2:12" x14ac:dyDescent="0.25">
      <c r="B4" s="623" t="s">
        <v>1</v>
      </c>
      <c r="C4" s="623"/>
      <c r="D4" s="623"/>
      <c r="E4" s="207">
        <f>('Energy Consumption'!X24+'Energy Consumption'!X40)*B29</f>
        <v>1306787207.7596221</v>
      </c>
      <c r="F4" s="208">
        <f>(E4/1000)/Summary!B5</f>
        <v>10.799894279005141</v>
      </c>
      <c r="G4" s="208">
        <f>F4*E21</f>
        <v>27.539730411463108</v>
      </c>
      <c r="H4" s="209">
        <f>((E4/1000000)*$D$21)</f>
        <v>110475.79054399846</v>
      </c>
      <c r="I4" s="203">
        <f>H4*$B$28</f>
        <v>110.47579054399846</v>
      </c>
      <c r="K4" s="87"/>
      <c r="L4" s="87"/>
    </row>
    <row r="5" spans="2:12" x14ac:dyDescent="0.25">
      <c r="B5" s="623" t="s">
        <v>0</v>
      </c>
      <c r="C5" s="623"/>
      <c r="D5" s="623"/>
      <c r="E5" s="207">
        <f>('Energy Consumption'!AF24+'Energy Consumption'!AF40)*B29</f>
        <v>1076243043.4754548</v>
      </c>
      <c r="F5" s="208">
        <f>(E5/1000)/Summary!B5</f>
        <v>8.8945706072351651</v>
      </c>
      <c r="G5" s="208">
        <f>F5*E21</f>
        <v>22.681155048449668</v>
      </c>
      <c r="H5" s="209">
        <f>((E5/1000000)*$D$21)</f>
        <v>90985.586895414963</v>
      </c>
      <c r="I5" s="203">
        <f>H5*$B$28</f>
        <v>90.985586895414968</v>
      </c>
      <c r="K5" s="87"/>
      <c r="L5" s="87"/>
    </row>
    <row r="6" spans="2:12" x14ac:dyDescent="0.25">
      <c r="B6" s="624" t="s">
        <v>2</v>
      </c>
      <c r="C6" s="625"/>
      <c r="D6" s="626"/>
      <c r="E6" s="207">
        <f>E5</f>
        <v>1076243043.4754548</v>
      </c>
      <c r="F6" s="208">
        <f>(E6/1000)/Summary!B5</f>
        <v>8.8945706072351651</v>
      </c>
      <c r="G6" s="208">
        <f>F6*E21</f>
        <v>22.681155048449668</v>
      </c>
      <c r="H6" s="209">
        <f>((E6/1000000)*$D$21)</f>
        <v>90985.586895414963</v>
      </c>
      <c r="I6" s="203">
        <f>H6*$B$28</f>
        <v>90.985586895414968</v>
      </c>
      <c r="K6" s="87"/>
      <c r="L6" s="87"/>
    </row>
    <row r="7" spans="2:12" x14ac:dyDescent="0.25">
      <c r="B7" s="87"/>
      <c r="C7" s="87"/>
      <c r="D7" s="87"/>
      <c r="E7" s="87"/>
      <c r="F7" s="87"/>
      <c r="G7" s="87"/>
      <c r="H7" s="87"/>
      <c r="I7" s="87"/>
      <c r="J7" s="87"/>
      <c r="K7" s="87"/>
    </row>
    <row r="8" spans="2:12" ht="18.399999999999999" customHeight="1" x14ac:dyDescent="0.25">
      <c r="B8" s="527" t="s">
        <v>21</v>
      </c>
      <c r="C8" s="525" t="s">
        <v>22</v>
      </c>
      <c r="D8" s="525"/>
      <c r="E8" s="507" t="s">
        <v>356</v>
      </c>
      <c r="F8" s="543"/>
      <c r="G8" s="543"/>
      <c r="H8" s="543"/>
      <c r="I8" s="508"/>
    </row>
    <row r="9" spans="2:12" ht="64.150000000000006" customHeight="1" x14ac:dyDescent="0.25">
      <c r="B9" s="527"/>
      <c r="C9" s="525"/>
      <c r="D9" s="525"/>
      <c r="E9" s="507" t="s">
        <v>409</v>
      </c>
      <c r="F9" s="508"/>
      <c r="G9" s="69" t="s">
        <v>1</v>
      </c>
      <c r="H9" s="69" t="s">
        <v>0</v>
      </c>
      <c r="I9" s="69" t="s">
        <v>2</v>
      </c>
    </row>
    <row r="10" spans="2:12" x14ac:dyDescent="0.25">
      <c r="B10" s="210">
        <v>2017</v>
      </c>
      <c r="C10" s="629">
        <v>128</v>
      </c>
      <c r="D10" s="629"/>
      <c r="E10" s="621">
        <f>$I$3*C10</f>
        <v>15179.72309847362</v>
      </c>
      <c r="F10" s="622"/>
      <c r="G10" s="217">
        <f t="shared" ref="G10:G18" si="0">$I$4*C10</f>
        <v>14140.901189631802</v>
      </c>
      <c r="H10" s="217">
        <f t="shared" ref="H10:H18" si="1">$I$5*C10</f>
        <v>11646.155122613116</v>
      </c>
      <c r="I10" s="217">
        <f t="shared" ref="I10:I18" si="2">$I$6*C10</f>
        <v>11646.155122613116</v>
      </c>
    </row>
    <row r="11" spans="2:12" x14ac:dyDescent="0.25">
      <c r="B11" s="210">
        <v>2018</v>
      </c>
      <c r="C11" s="621">
        <v>132</v>
      </c>
      <c r="D11" s="622"/>
      <c r="E11" s="621">
        <f t="shared" ref="E11:E14" si="3">$I$3*C11</f>
        <v>15654.08944530092</v>
      </c>
      <c r="F11" s="622"/>
      <c r="G11" s="217">
        <f t="shared" si="0"/>
        <v>14582.804351807796</v>
      </c>
      <c r="H11" s="217">
        <f t="shared" si="1"/>
        <v>12010.097470194776</v>
      </c>
      <c r="I11" s="217">
        <f t="shared" si="2"/>
        <v>12010.097470194776</v>
      </c>
    </row>
    <row r="12" spans="2:12" x14ac:dyDescent="0.25">
      <c r="B12" s="210">
        <v>2019</v>
      </c>
      <c r="C12" s="621">
        <v>136</v>
      </c>
      <c r="D12" s="622"/>
      <c r="E12" s="621">
        <f t="shared" si="3"/>
        <v>16128.455792128221</v>
      </c>
      <c r="F12" s="622"/>
      <c r="G12" s="217">
        <f t="shared" si="0"/>
        <v>15024.707513983791</v>
      </c>
      <c r="H12" s="217">
        <f t="shared" si="1"/>
        <v>12374.039817776436</v>
      </c>
      <c r="I12" s="217">
        <f t="shared" si="2"/>
        <v>12374.039817776436</v>
      </c>
    </row>
    <row r="13" spans="2:12" x14ac:dyDescent="0.25">
      <c r="B13" s="210">
        <v>2020</v>
      </c>
      <c r="C13" s="621">
        <v>140</v>
      </c>
      <c r="D13" s="622"/>
      <c r="E13" s="621">
        <f t="shared" si="3"/>
        <v>16602.822138955522</v>
      </c>
      <c r="F13" s="622"/>
      <c r="G13" s="217">
        <f t="shared" si="0"/>
        <v>15466.610676159784</v>
      </c>
      <c r="H13" s="217">
        <f t="shared" si="1"/>
        <v>12737.982165358095</v>
      </c>
      <c r="I13" s="217">
        <f t="shared" si="2"/>
        <v>12737.982165358095</v>
      </c>
    </row>
    <row r="14" spans="2:12" x14ac:dyDescent="0.25">
      <c r="B14" s="210">
        <v>2021</v>
      </c>
      <c r="C14" s="621">
        <v>142</v>
      </c>
      <c r="D14" s="622"/>
      <c r="E14" s="621">
        <f t="shared" si="3"/>
        <v>16840.005312369172</v>
      </c>
      <c r="F14" s="622"/>
      <c r="G14" s="217">
        <f t="shared" si="0"/>
        <v>15687.562257247781</v>
      </c>
      <c r="H14" s="217">
        <f t="shared" si="1"/>
        <v>12919.953339148926</v>
      </c>
      <c r="I14" s="217">
        <f t="shared" si="2"/>
        <v>12919.953339148926</v>
      </c>
    </row>
    <row r="15" spans="2:12" x14ac:dyDescent="0.25">
      <c r="B15" s="210">
        <v>2022</v>
      </c>
      <c r="C15" s="621">
        <v>146</v>
      </c>
      <c r="D15" s="622"/>
      <c r="E15" s="621">
        <f t="shared" ref="E15" si="4">$I$3*C15</f>
        <v>17314.371659196473</v>
      </c>
      <c r="F15" s="622"/>
      <c r="G15" s="217">
        <f t="shared" si="0"/>
        <v>16129.465419423776</v>
      </c>
      <c r="H15" s="217">
        <f t="shared" si="1"/>
        <v>13283.895686730586</v>
      </c>
      <c r="I15" s="217">
        <f t="shared" si="2"/>
        <v>13283.895686730586</v>
      </c>
    </row>
    <row r="16" spans="2:12" x14ac:dyDescent="0.25">
      <c r="B16" s="210">
        <v>2023</v>
      </c>
      <c r="C16" s="621">
        <v>150</v>
      </c>
      <c r="D16" s="622"/>
      <c r="E16" s="621">
        <f>$I$3*C16</f>
        <v>17788.738006023774</v>
      </c>
      <c r="F16" s="622"/>
      <c r="G16" s="217">
        <f t="shared" si="0"/>
        <v>16571.368581599767</v>
      </c>
      <c r="H16" s="217">
        <f t="shared" si="1"/>
        <v>13647.838034312244</v>
      </c>
      <c r="I16" s="217">
        <f t="shared" si="2"/>
        <v>13647.838034312244</v>
      </c>
    </row>
    <row r="17" spans="1:9" x14ac:dyDescent="0.25">
      <c r="B17" s="210">
        <v>2024</v>
      </c>
      <c r="C17" s="621">
        <v>154</v>
      </c>
      <c r="D17" s="622"/>
      <c r="E17" s="621">
        <f t="shared" ref="E17" si="5">$I$3*C17</f>
        <v>18263.104352851075</v>
      </c>
      <c r="F17" s="622"/>
      <c r="G17" s="217">
        <f t="shared" si="0"/>
        <v>17013.271743775764</v>
      </c>
      <c r="H17" s="217">
        <f t="shared" si="1"/>
        <v>14011.780381893905</v>
      </c>
      <c r="I17" s="217">
        <f t="shared" si="2"/>
        <v>14011.780381893905</v>
      </c>
    </row>
    <row r="18" spans="1:9" x14ac:dyDescent="0.25">
      <c r="B18" s="210">
        <v>2025</v>
      </c>
      <c r="C18" s="621">
        <v>158</v>
      </c>
      <c r="D18" s="622"/>
      <c r="E18" s="621">
        <f t="shared" ref="E18" si="6">$I$3*C18</f>
        <v>18737.470699678375</v>
      </c>
      <c r="F18" s="622"/>
      <c r="G18" s="217">
        <f t="shared" si="0"/>
        <v>17455.174905951757</v>
      </c>
      <c r="H18" s="217">
        <f t="shared" si="1"/>
        <v>14375.722729475565</v>
      </c>
      <c r="I18" s="217">
        <f t="shared" si="2"/>
        <v>14375.722729475565</v>
      </c>
    </row>
    <row r="19" spans="1:9" x14ac:dyDescent="0.25">
      <c r="E19" s="57"/>
      <c r="I19" s="87"/>
    </row>
    <row r="20" spans="1:9" ht="33.75" customHeight="1" x14ac:dyDescent="0.25">
      <c r="B20" s="628"/>
      <c r="C20" s="628"/>
      <c r="D20" s="69" t="s">
        <v>366</v>
      </c>
      <c r="E20" s="69" t="s">
        <v>368</v>
      </c>
    </row>
    <row r="21" spans="1:9" x14ac:dyDescent="0.25">
      <c r="B21" s="627" t="s">
        <v>55</v>
      </c>
      <c r="C21" s="627"/>
      <c r="D21" s="211">
        <v>84.54</v>
      </c>
      <c r="E21" s="436">
        <v>2.5499999999999998</v>
      </c>
    </row>
    <row r="22" spans="1:9" ht="15" customHeight="1" x14ac:dyDescent="0.25"/>
    <row r="23" spans="1:9" ht="15" customHeight="1" x14ac:dyDescent="0.25">
      <c r="A23" s="437" t="s">
        <v>359</v>
      </c>
      <c r="B23" s="438" t="s">
        <v>367</v>
      </c>
    </row>
    <row r="24" spans="1:9" x14ac:dyDescent="0.25">
      <c r="A24" s="437" t="s">
        <v>364</v>
      </c>
      <c r="B24" s="8" t="s">
        <v>95</v>
      </c>
    </row>
    <row r="25" spans="1:9" x14ac:dyDescent="0.25">
      <c r="A25" s="437" t="s">
        <v>365</v>
      </c>
      <c r="B25" s="8" t="s">
        <v>317</v>
      </c>
      <c r="C25" s="438"/>
    </row>
    <row r="26" spans="1:9" x14ac:dyDescent="0.25">
      <c r="A26" s="437"/>
    </row>
    <row r="27" spans="1:9" x14ac:dyDescent="0.25">
      <c r="B27" s="8" t="s">
        <v>317</v>
      </c>
    </row>
    <row r="28" spans="1:9" x14ac:dyDescent="0.25">
      <c r="B28" s="88">
        <v>1E-3</v>
      </c>
      <c r="C28" s="526" t="s">
        <v>97</v>
      </c>
      <c r="D28" s="526"/>
    </row>
    <row r="29" spans="1:9" x14ac:dyDescent="0.25">
      <c r="B29" s="59">
        <v>3412.14</v>
      </c>
      <c r="C29" s="526" t="s">
        <v>386</v>
      </c>
      <c r="D29" s="526"/>
    </row>
    <row r="30" spans="1:9" x14ac:dyDescent="0.25">
      <c r="B30" s="78">
        <v>100000</v>
      </c>
      <c r="C30" s="526" t="s">
        <v>172</v>
      </c>
      <c r="D30" s="526"/>
    </row>
  </sheetData>
  <mergeCells count="32">
    <mergeCell ref="B2:D2"/>
    <mergeCell ref="B21:C21"/>
    <mergeCell ref="B5:D5"/>
    <mergeCell ref="B8:B9"/>
    <mergeCell ref="C8:D9"/>
    <mergeCell ref="B20:C20"/>
    <mergeCell ref="C14:D14"/>
    <mergeCell ref="C10:D10"/>
    <mergeCell ref="C11:D11"/>
    <mergeCell ref="C12:D12"/>
    <mergeCell ref="C13:D13"/>
    <mergeCell ref="B3:D3"/>
    <mergeCell ref="C28:D28"/>
    <mergeCell ref="C29:D29"/>
    <mergeCell ref="C30:D30"/>
    <mergeCell ref="B4:D4"/>
    <mergeCell ref="B6:D6"/>
    <mergeCell ref="C15:D15"/>
    <mergeCell ref="C16:D16"/>
    <mergeCell ref="C17:D17"/>
    <mergeCell ref="C18:D18"/>
    <mergeCell ref="E8:I8"/>
    <mergeCell ref="E9:F9"/>
    <mergeCell ref="E10:F10"/>
    <mergeCell ref="E11:F11"/>
    <mergeCell ref="E12:F12"/>
    <mergeCell ref="E18:F18"/>
    <mergeCell ref="E13:F13"/>
    <mergeCell ref="E14:F14"/>
    <mergeCell ref="E15:F15"/>
    <mergeCell ref="E16:F16"/>
    <mergeCell ref="E17:F17"/>
  </mergeCells>
  <hyperlinks>
    <hyperlink ref="B24" r:id="rId1" xr:uid="{00000000-0004-0000-0900-000000000000}"/>
    <hyperlink ref="B27" r:id="rId2" xr:uid="{00000000-0004-0000-0900-000001000000}"/>
    <hyperlink ref="B25" r:id="rId3" xr:uid="{00000000-0004-0000-0900-000002000000}"/>
  </hyperlinks>
  <pageMargins left="0.7" right="0.7" top="0.75" bottom="0.75" header="0.3" footer="0.3"/>
  <pageSetup scale="90" fitToHeight="0" orientation="landscape"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pageSetUpPr fitToPage="1"/>
  </sheetPr>
  <dimension ref="B1:D8"/>
  <sheetViews>
    <sheetView view="pageBreakPreview" zoomScaleNormal="100" zoomScaleSheetLayoutView="100" workbookViewId="0">
      <selection activeCell="B14" sqref="B14"/>
    </sheetView>
  </sheetViews>
  <sheetFormatPr defaultRowHeight="15" x14ac:dyDescent="0.25"/>
  <cols>
    <col min="1" max="1" width="3.7109375" customWidth="1"/>
    <col min="2" max="2" width="52.42578125" bestFit="1" customWidth="1"/>
    <col min="3" max="3" width="21.28515625" customWidth="1"/>
    <col min="4" max="4" width="23.28515625" customWidth="1"/>
  </cols>
  <sheetData>
    <row r="1" spans="2:4" ht="15.75" thickBot="1" x14ac:dyDescent="0.3"/>
    <row r="2" spans="2:4" x14ac:dyDescent="0.25">
      <c r="B2" s="619" t="s">
        <v>23</v>
      </c>
      <c r="C2" s="477" t="s">
        <v>3</v>
      </c>
      <c r="D2" s="478" t="s">
        <v>4</v>
      </c>
    </row>
    <row r="3" spans="2:4" ht="15.75" thickBot="1" x14ac:dyDescent="0.3">
      <c r="B3" s="620"/>
      <c r="C3" s="633" t="s">
        <v>96</v>
      </c>
      <c r="D3" s="634"/>
    </row>
    <row r="4" spans="2:4" x14ac:dyDescent="0.25">
      <c r="B4" s="121" t="s">
        <v>409</v>
      </c>
      <c r="C4" s="20">
        <v>15</v>
      </c>
      <c r="D4" s="352">
        <v>19</v>
      </c>
    </row>
    <row r="5" spans="2:4" x14ac:dyDescent="0.25">
      <c r="B5" s="351" t="s">
        <v>1</v>
      </c>
      <c r="C5" s="20">
        <v>15</v>
      </c>
      <c r="D5" s="352">
        <v>19</v>
      </c>
    </row>
    <row r="6" spans="2:4" x14ac:dyDescent="0.25">
      <c r="B6" s="351" t="s">
        <v>0</v>
      </c>
      <c r="C6" s="20">
        <v>15</v>
      </c>
      <c r="D6" s="352">
        <v>19</v>
      </c>
    </row>
    <row r="7" spans="2:4" x14ac:dyDescent="0.25">
      <c r="B7" s="353" t="s">
        <v>2</v>
      </c>
      <c r="C7" s="354">
        <v>15</v>
      </c>
      <c r="D7" s="355">
        <v>19</v>
      </c>
    </row>
    <row r="8" spans="2:4" ht="15.75" thickBot="1" x14ac:dyDescent="0.3">
      <c r="B8" s="630" t="s">
        <v>415</v>
      </c>
      <c r="C8" s="631"/>
      <c r="D8" s="632"/>
    </row>
  </sheetData>
  <mergeCells count="3">
    <mergeCell ref="B2:B3"/>
    <mergeCell ref="B8:D8"/>
    <mergeCell ref="C3:D3"/>
  </mergeCells>
  <pageMargins left="0.7" right="0.7" top="0.75" bottom="0.75" header="0.3" footer="0.3"/>
  <pageSetup scale="8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pageSetUpPr fitToPage="1"/>
  </sheetPr>
  <dimension ref="A1:Z41"/>
  <sheetViews>
    <sheetView view="pageBreakPreview" zoomScaleNormal="80" zoomScaleSheetLayoutView="100" workbookViewId="0">
      <pane xSplit="4" topLeftCell="E1" activePane="topRight" state="frozen"/>
      <selection pane="topRight" activeCell="A10" sqref="A10:A14"/>
    </sheetView>
  </sheetViews>
  <sheetFormatPr defaultRowHeight="15" x14ac:dyDescent="0.25"/>
  <cols>
    <col min="1" max="1" width="23.5703125" bestFit="1" customWidth="1"/>
    <col min="2" max="2" width="13.28515625" customWidth="1"/>
    <col min="3" max="3" width="12.7109375" customWidth="1"/>
    <col min="4" max="4" width="18.5703125" customWidth="1"/>
    <col min="5" max="16" width="10.5703125" customWidth="1"/>
    <col min="17" max="17" width="11.140625" customWidth="1"/>
    <col min="18" max="24" width="10.5703125" customWidth="1"/>
    <col min="25" max="25" width="12.7109375" bestFit="1" customWidth="1"/>
    <col min="26" max="26" width="5" bestFit="1" customWidth="1"/>
    <col min="35" max="35" width="11.5703125" bestFit="1" customWidth="1"/>
  </cols>
  <sheetData>
    <row r="1" spans="1:26" x14ac:dyDescent="0.25">
      <c r="A1" s="517" t="s">
        <v>218</v>
      </c>
      <c r="B1" s="517"/>
    </row>
    <row r="2" spans="1:26" x14ac:dyDescent="0.25">
      <c r="A2" s="1" t="s">
        <v>195</v>
      </c>
      <c r="B2" s="100">
        <v>0.05</v>
      </c>
    </row>
    <row r="3" spans="1:26" x14ac:dyDescent="0.25">
      <c r="A3" s="1" t="s">
        <v>193</v>
      </c>
      <c r="B3" s="100">
        <v>0.03</v>
      </c>
    </row>
    <row r="4" spans="1:26" x14ac:dyDescent="0.25">
      <c r="A4" s="1" t="s">
        <v>194</v>
      </c>
      <c r="B4" s="100">
        <v>0.03</v>
      </c>
    </row>
    <row r="5" spans="1:26" x14ac:dyDescent="0.25">
      <c r="A5" s="1" t="s">
        <v>199</v>
      </c>
      <c r="B5" s="100">
        <v>0.03</v>
      </c>
    </row>
    <row r="6" spans="1:26" ht="15.75" thickBot="1" x14ac:dyDescent="0.3"/>
    <row r="7" spans="1:26" x14ac:dyDescent="0.25">
      <c r="A7" s="599" t="s">
        <v>219</v>
      </c>
      <c r="B7" s="600"/>
      <c r="C7" s="600"/>
      <c r="D7" s="600"/>
      <c r="E7" s="600"/>
      <c r="F7" s="600"/>
      <c r="G7" s="600"/>
      <c r="H7" s="600"/>
      <c r="I7" s="600"/>
      <c r="J7" s="600"/>
      <c r="K7" s="600"/>
      <c r="L7" s="600"/>
      <c r="M7" s="600"/>
      <c r="N7" s="600"/>
      <c r="O7" s="600"/>
      <c r="P7" s="600"/>
      <c r="Q7" s="600"/>
      <c r="R7" s="600"/>
      <c r="S7" s="600"/>
      <c r="T7" s="600"/>
      <c r="U7" s="600"/>
      <c r="V7" s="600"/>
      <c r="W7" s="600"/>
      <c r="X7" s="600"/>
      <c r="Y7" s="601"/>
    </row>
    <row r="8" spans="1:26" x14ac:dyDescent="0.25">
      <c r="A8" s="635" t="s">
        <v>23</v>
      </c>
      <c r="B8" s="527" t="s">
        <v>221</v>
      </c>
      <c r="C8" s="99">
        <v>0</v>
      </c>
      <c r="D8" s="640" t="s">
        <v>220</v>
      </c>
      <c r="E8" s="99">
        <v>1</v>
      </c>
      <c r="F8" s="99">
        <v>2</v>
      </c>
      <c r="G8" s="99">
        <v>3</v>
      </c>
      <c r="H8" s="99">
        <v>4</v>
      </c>
      <c r="I8" s="99">
        <v>5</v>
      </c>
      <c r="J8" s="99">
        <v>6</v>
      </c>
      <c r="K8" s="99">
        <v>7</v>
      </c>
      <c r="L8" s="99">
        <v>8</v>
      </c>
      <c r="M8" s="99">
        <v>9</v>
      </c>
      <c r="N8" s="99">
        <v>10</v>
      </c>
      <c r="O8" s="99">
        <v>11</v>
      </c>
      <c r="P8" s="99">
        <v>12</v>
      </c>
      <c r="Q8" s="99">
        <v>13</v>
      </c>
      <c r="R8" s="99">
        <v>14</v>
      </c>
      <c r="S8" s="99">
        <v>15</v>
      </c>
      <c r="T8" s="99">
        <v>16</v>
      </c>
      <c r="U8" s="99">
        <v>17</v>
      </c>
      <c r="V8" s="99">
        <v>18</v>
      </c>
      <c r="W8" s="99">
        <v>19</v>
      </c>
      <c r="X8" s="99">
        <v>20</v>
      </c>
      <c r="Y8" s="638" t="s">
        <v>190</v>
      </c>
    </row>
    <row r="9" spans="1:26" ht="15.75" thickBot="1" x14ac:dyDescent="0.3">
      <c r="A9" s="636"/>
      <c r="B9" s="637"/>
      <c r="C9" s="103">
        <v>2023</v>
      </c>
      <c r="D9" s="641"/>
      <c r="E9" s="103">
        <v>2024</v>
      </c>
      <c r="F9" s="103">
        <v>2025</v>
      </c>
      <c r="G9" s="103">
        <v>2026</v>
      </c>
      <c r="H9" s="103">
        <v>2027</v>
      </c>
      <c r="I9" s="103">
        <v>2028</v>
      </c>
      <c r="J9" s="103">
        <v>2029</v>
      </c>
      <c r="K9" s="103">
        <v>2030</v>
      </c>
      <c r="L9" s="103">
        <v>2031</v>
      </c>
      <c r="M9" s="103">
        <v>2032</v>
      </c>
      <c r="N9" s="103">
        <v>2033</v>
      </c>
      <c r="O9" s="103">
        <v>2034</v>
      </c>
      <c r="P9" s="103">
        <v>2035</v>
      </c>
      <c r="Q9" s="103">
        <v>2036</v>
      </c>
      <c r="R9" s="103">
        <v>2037</v>
      </c>
      <c r="S9" s="103">
        <v>2038</v>
      </c>
      <c r="T9" s="103">
        <v>2039</v>
      </c>
      <c r="U9" s="103">
        <v>2040</v>
      </c>
      <c r="V9" s="103">
        <v>2041</v>
      </c>
      <c r="W9" s="103">
        <v>2042</v>
      </c>
      <c r="X9" s="103">
        <v>2043</v>
      </c>
      <c r="Y9" s="639"/>
    </row>
    <row r="10" spans="1:26" ht="15" customHeight="1" x14ac:dyDescent="0.25">
      <c r="A10" s="642" t="s">
        <v>409</v>
      </c>
      <c r="B10" s="648" t="s">
        <v>188</v>
      </c>
      <c r="C10" s="645">
        <f>IF(Summary!$A$37="SCA Standard HVAC System (Air-Source Heat Pump RTUs)",'Capital Cost'!C7,"N/A")</f>
        <v>3680820</v>
      </c>
      <c r="D10" s="62" t="s">
        <v>200</v>
      </c>
      <c r="E10" s="360">
        <f>IF($C$10="N/A","N/A",('Energy Cost'!M8))</f>
        <v>122841.01350166295</v>
      </c>
      <c r="F10" s="361">
        <f>IF($C$10="N/A","N/A",E10*(1+$B$3))</f>
        <v>126526.24390671284</v>
      </c>
      <c r="G10" s="361">
        <f t="shared" ref="G10:X10" si="0">IF($C$10="N/A","N/A",F10*(1+$B$3))</f>
        <v>130322.03122391424</v>
      </c>
      <c r="H10" s="361">
        <f t="shared" si="0"/>
        <v>134231.69216063168</v>
      </c>
      <c r="I10" s="361">
        <f t="shared" si="0"/>
        <v>138258.64292545064</v>
      </c>
      <c r="J10" s="361">
        <f t="shared" si="0"/>
        <v>142406.40221321417</v>
      </c>
      <c r="K10" s="361">
        <f t="shared" si="0"/>
        <v>146678.59427961061</v>
      </c>
      <c r="L10" s="361">
        <f t="shared" si="0"/>
        <v>151078.95210799892</v>
      </c>
      <c r="M10" s="361">
        <f t="shared" si="0"/>
        <v>155611.32067123888</v>
      </c>
      <c r="N10" s="361">
        <f t="shared" si="0"/>
        <v>160279.66029137606</v>
      </c>
      <c r="O10" s="361">
        <f t="shared" si="0"/>
        <v>165088.05010011734</v>
      </c>
      <c r="P10" s="361">
        <f t="shared" si="0"/>
        <v>170040.69160312085</v>
      </c>
      <c r="Q10" s="357">
        <f t="shared" si="0"/>
        <v>175141.91235121447</v>
      </c>
      <c r="R10" s="357">
        <f>IF($C$10="N/A","N/A",Q10*(1+$B$3))</f>
        <v>180396.16972175092</v>
      </c>
      <c r="S10" s="357">
        <f t="shared" si="0"/>
        <v>185808.05481340346</v>
      </c>
      <c r="T10" s="357">
        <f t="shared" si="0"/>
        <v>191382.29645780558</v>
      </c>
      <c r="U10" s="357">
        <f t="shared" si="0"/>
        <v>197123.76535153977</v>
      </c>
      <c r="V10" s="357">
        <f t="shared" si="0"/>
        <v>203037.47831208596</v>
      </c>
      <c r="W10" s="357">
        <f t="shared" si="0"/>
        <v>209128.60266144856</v>
      </c>
      <c r="X10" s="357">
        <f t="shared" si="0"/>
        <v>215402.46074129202</v>
      </c>
      <c r="Y10" s="367">
        <f>IF(C10="N/A","N/A",SUM(E10:X10))</f>
        <v>3300784.0353955906</v>
      </c>
    </row>
    <row r="11" spans="1:26" ht="15" customHeight="1" x14ac:dyDescent="0.25">
      <c r="A11" s="643"/>
      <c r="B11" s="538"/>
      <c r="C11" s="646"/>
      <c r="D11" s="58" t="s">
        <v>201</v>
      </c>
      <c r="E11" s="358">
        <f>IF($C$10="N/A","N/A",'Annual Maintenance Cost'!C7)</f>
        <v>3000</v>
      </c>
      <c r="F11" s="359">
        <f>IF($C$10="N/A","N/A",E11*(1+$B$4))</f>
        <v>3090</v>
      </c>
      <c r="G11" s="359">
        <f t="shared" ref="G11:X11" si="1">IF($C$10="N/A","N/A",F11*(1+$B$4))</f>
        <v>3182.7000000000003</v>
      </c>
      <c r="H11" s="359">
        <f t="shared" si="1"/>
        <v>3278.1810000000005</v>
      </c>
      <c r="I11" s="359">
        <f t="shared" si="1"/>
        <v>3376.5264300000008</v>
      </c>
      <c r="J11" s="359">
        <f t="shared" si="1"/>
        <v>3477.8222229000007</v>
      </c>
      <c r="K11" s="359">
        <f t="shared" si="1"/>
        <v>3582.1568895870009</v>
      </c>
      <c r="L11" s="359">
        <f t="shared" si="1"/>
        <v>3689.621596274611</v>
      </c>
      <c r="M11" s="359">
        <f t="shared" si="1"/>
        <v>3800.3102441628494</v>
      </c>
      <c r="N11" s="359">
        <f t="shared" si="1"/>
        <v>3914.3195514877348</v>
      </c>
      <c r="O11" s="359">
        <f t="shared" si="1"/>
        <v>4031.7491380323668</v>
      </c>
      <c r="P11" s="359">
        <f t="shared" si="1"/>
        <v>4152.7016121733377</v>
      </c>
      <c r="Q11" s="359">
        <f t="shared" si="1"/>
        <v>4277.282660538538</v>
      </c>
      <c r="R11" s="359">
        <f t="shared" si="1"/>
        <v>4405.6011403546945</v>
      </c>
      <c r="S11" s="359">
        <f t="shared" si="1"/>
        <v>4537.7691745653356</v>
      </c>
      <c r="T11" s="359">
        <f t="shared" si="1"/>
        <v>4673.902249802296</v>
      </c>
      <c r="U11" s="359">
        <f t="shared" si="1"/>
        <v>4814.1193172963649</v>
      </c>
      <c r="V11" s="359">
        <f t="shared" si="1"/>
        <v>4958.5428968152564</v>
      </c>
      <c r="W11" s="359">
        <f t="shared" si="1"/>
        <v>5107.2991837197142</v>
      </c>
      <c r="X11" s="359">
        <f t="shared" si="1"/>
        <v>5260.5181592313056</v>
      </c>
      <c r="Y11" s="367">
        <f>IF(C10="N/A","N/A",SUM(E11:X11))</f>
        <v>80611.123466941426</v>
      </c>
    </row>
    <row r="12" spans="1:26" ht="15" customHeight="1" x14ac:dyDescent="0.25">
      <c r="A12" s="643"/>
      <c r="B12" s="538"/>
      <c r="C12" s="646"/>
      <c r="D12" s="58" t="s">
        <v>202</v>
      </c>
      <c r="E12" s="359">
        <f>IF(C10="N/A","N/A",'Carbon Cost'!E17)</f>
        <v>18263.104352851075</v>
      </c>
      <c r="F12" s="359">
        <f>IF($C$10="N/A","N/A",E12*(1+$B$5))</f>
        <v>18810.997483436608</v>
      </c>
      <c r="G12" s="359">
        <f>IF($C$10="N/A","N/A",F12*(1+$B$5))</f>
        <v>19375.327407939705</v>
      </c>
      <c r="H12" s="359">
        <f>IF($C$10="N/A","N/A",G12*(1+$B$5))</f>
        <v>19956.587230177898</v>
      </c>
      <c r="I12" s="359">
        <f t="shared" ref="I12:X12" si="2">IF($C$10="N/A","N/A",H12*(1+$B$5))</f>
        <v>20555.284847083236</v>
      </c>
      <c r="J12" s="359">
        <f t="shared" si="2"/>
        <v>21171.943392495734</v>
      </c>
      <c r="K12" s="359">
        <f t="shared" si="2"/>
        <v>21807.101694270605</v>
      </c>
      <c r="L12" s="359">
        <f t="shared" si="2"/>
        <v>22461.314745098724</v>
      </c>
      <c r="M12" s="359">
        <f t="shared" si="2"/>
        <v>23135.154187451684</v>
      </c>
      <c r="N12" s="359">
        <f t="shared" si="2"/>
        <v>23829.208813075235</v>
      </c>
      <c r="O12" s="359">
        <f t="shared" si="2"/>
        <v>24544.085077467491</v>
      </c>
      <c r="P12" s="359">
        <f t="shared" si="2"/>
        <v>25280.407629791516</v>
      </c>
      <c r="Q12" s="359">
        <f t="shared" si="2"/>
        <v>26038.819858685263</v>
      </c>
      <c r="R12" s="359">
        <f t="shared" si="2"/>
        <v>26819.984454445821</v>
      </c>
      <c r="S12" s="359">
        <f t="shared" si="2"/>
        <v>27624.583988079197</v>
      </c>
      <c r="T12" s="359">
        <f t="shared" si="2"/>
        <v>28453.321507721575</v>
      </c>
      <c r="U12" s="359">
        <f t="shared" si="2"/>
        <v>29306.921152953222</v>
      </c>
      <c r="V12" s="359">
        <f t="shared" si="2"/>
        <v>30186.12878754182</v>
      </c>
      <c r="W12" s="359">
        <f t="shared" si="2"/>
        <v>31091.712651168076</v>
      </c>
      <c r="X12" s="359">
        <f t="shared" si="2"/>
        <v>32024.464030703119</v>
      </c>
      <c r="Y12" s="367">
        <f>IF(C10="N/A","N/A",SUM(E12:X12))</f>
        <v>490736.4532924376</v>
      </c>
    </row>
    <row r="13" spans="1:26" ht="15" customHeight="1" x14ac:dyDescent="0.25">
      <c r="A13" s="643"/>
      <c r="B13" s="539"/>
      <c r="C13" s="647"/>
      <c r="D13" s="58" t="s">
        <v>203</v>
      </c>
      <c r="E13" s="359">
        <f>IF($C$10="N/A","N/A",SUM(E10:E12))</f>
        <v>144104.11785451401</v>
      </c>
      <c r="F13" s="359">
        <f t="shared" ref="F13:X13" si="3">IF($C$10="N/A","N/A",SUM(F10:F12))</f>
        <v>148427.24139014946</v>
      </c>
      <c r="G13" s="359">
        <f t="shared" si="3"/>
        <v>152880.05863185396</v>
      </c>
      <c r="H13" s="359">
        <f t="shared" si="3"/>
        <v>157466.46039080957</v>
      </c>
      <c r="I13" s="359">
        <f t="shared" si="3"/>
        <v>162190.45420253387</v>
      </c>
      <c r="J13" s="359">
        <f t="shared" si="3"/>
        <v>167056.1678286099</v>
      </c>
      <c r="K13" s="359">
        <f t="shared" si="3"/>
        <v>172067.85286346823</v>
      </c>
      <c r="L13" s="359">
        <f t="shared" si="3"/>
        <v>177229.88844937226</v>
      </c>
      <c r="M13" s="359">
        <f t="shared" si="3"/>
        <v>182546.78510285344</v>
      </c>
      <c r="N13" s="359">
        <f t="shared" si="3"/>
        <v>188023.18865593904</v>
      </c>
      <c r="O13" s="359">
        <f t="shared" si="3"/>
        <v>193663.88431561721</v>
      </c>
      <c r="P13" s="359">
        <f t="shared" si="3"/>
        <v>199473.8008450857</v>
      </c>
      <c r="Q13" s="359">
        <f t="shared" si="3"/>
        <v>205458.01487043826</v>
      </c>
      <c r="R13" s="359">
        <f t="shared" si="3"/>
        <v>211621.75531655145</v>
      </c>
      <c r="S13" s="359">
        <f t="shared" si="3"/>
        <v>217970.40797604798</v>
      </c>
      <c r="T13" s="359">
        <f t="shared" si="3"/>
        <v>224509.52021532945</v>
      </c>
      <c r="U13" s="359">
        <f t="shared" si="3"/>
        <v>231244.80582178937</v>
      </c>
      <c r="V13" s="359">
        <f t="shared" si="3"/>
        <v>238182.14999644304</v>
      </c>
      <c r="W13" s="359">
        <f t="shared" si="3"/>
        <v>245327.61449633635</v>
      </c>
      <c r="X13" s="359">
        <f t="shared" si="3"/>
        <v>252687.44293122645</v>
      </c>
      <c r="Y13" s="367">
        <f>IF(C10="N/A","N/A",SUM(E13:X13))</f>
        <v>3872131.6121549685</v>
      </c>
    </row>
    <row r="14" spans="1:26" ht="15.75" thickBot="1" x14ac:dyDescent="0.3">
      <c r="A14" s="644"/>
      <c r="B14" s="101" t="s">
        <v>189</v>
      </c>
      <c r="C14" s="229">
        <f>C10</f>
        <v>3680820</v>
      </c>
      <c r="D14" s="101" t="s">
        <v>189</v>
      </c>
      <c r="E14" s="229">
        <f>IF($C$10="N/A","N/A",-PV($B$2,$E$8,0,E13,0))</f>
        <v>137242.01700429906</v>
      </c>
      <c r="F14" s="229">
        <f>IF($C$10="N/A","N/A",-PV($B$2,F$8,0,F13,0))</f>
        <v>134627.88334707433</v>
      </c>
      <c r="G14" s="229">
        <f t="shared" ref="G14:X14" si="4">IF($C$10="N/A","N/A",-PV($B$2,G$8,0,G13,0))</f>
        <v>132063.54271189196</v>
      </c>
      <c r="H14" s="229">
        <f>IF($C$10="N/A","N/A",-PV($B$2,H$8,0,H13,0))</f>
        <v>129548.0466602369</v>
      </c>
      <c r="I14" s="229">
        <f t="shared" si="4"/>
        <v>127080.46481908952</v>
      </c>
      <c r="J14" s="229">
        <f t="shared" si="4"/>
        <v>124659.88453682118</v>
      </c>
      <c r="K14" s="229">
        <f t="shared" si="4"/>
        <v>122285.41054564362</v>
      </c>
      <c r="L14" s="229">
        <f t="shared" si="4"/>
        <v>119956.16463048851</v>
      </c>
      <c r="M14" s="229">
        <f t="shared" si="4"/>
        <v>117671.2853041935</v>
      </c>
      <c r="N14" s="229">
        <f t="shared" si="4"/>
        <v>115429.92748887553</v>
      </c>
      <c r="O14" s="229">
        <f t="shared" si="4"/>
        <v>113231.26220337312</v>
      </c>
      <c r="P14" s="229">
        <f t="shared" si="4"/>
        <v>111074.47625664221</v>
      </c>
      <c r="Q14" s="366">
        <f t="shared" si="4"/>
        <v>108958.77194699185</v>
      </c>
      <c r="R14" s="366">
        <f t="shared" si="4"/>
        <v>106883.3667670492</v>
      </c>
      <c r="S14" s="366">
        <f t="shared" si="4"/>
        <v>104847.49311434347</v>
      </c>
      <c r="T14" s="366">
        <f t="shared" si="4"/>
        <v>102850.39800740361</v>
      </c>
      <c r="U14" s="366">
        <f t="shared" si="4"/>
        <v>100891.3428072626</v>
      </c>
      <c r="V14" s="366">
        <f t="shared" si="4"/>
        <v>98969.602944267113</v>
      </c>
      <c r="W14" s="366">
        <f t="shared" si="4"/>
        <v>97084.467650090606</v>
      </c>
      <c r="X14" s="366">
        <f t="shared" si="4"/>
        <v>95235.239694850796</v>
      </c>
      <c r="Y14" s="368">
        <f>IF(C10="N/A","N/A",SUM(C14:X14))</f>
        <v>5981411.0484408885</v>
      </c>
      <c r="Z14" t="s">
        <v>198</v>
      </c>
    </row>
    <row r="15" spans="1:26" x14ac:dyDescent="0.25">
      <c r="A15" s="649" t="s">
        <v>191</v>
      </c>
      <c r="B15" s="538" t="s">
        <v>188</v>
      </c>
      <c r="C15" s="646">
        <f>IF(Summary!E21="Yes",('Capital Cost'!D10),"N/A")</f>
        <v>5127154.8337777779</v>
      </c>
      <c r="D15" s="102" t="s">
        <v>200</v>
      </c>
      <c r="E15" s="356">
        <f>IF(C15="N/A","N/A",('Energy Cost'!M9))</f>
        <v>110300.72691428702</v>
      </c>
      <c r="F15" s="357">
        <f t="shared" ref="F15:X15" si="5">IF($C$15="N/A","N/A",E15*(1+$B$3))</f>
        <v>113609.74872171563</v>
      </c>
      <c r="G15" s="357">
        <f t="shared" si="5"/>
        <v>117018.0411833671</v>
      </c>
      <c r="H15" s="357">
        <f t="shared" si="5"/>
        <v>120528.58241886811</v>
      </c>
      <c r="I15" s="357">
        <f t="shared" si="5"/>
        <v>124144.43989143416</v>
      </c>
      <c r="J15" s="357">
        <f t="shared" si="5"/>
        <v>127868.77308817719</v>
      </c>
      <c r="K15" s="357">
        <f t="shared" si="5"/>
        <v>131704.83628082249</v>
      </c>
      <c r="L15" s="357">
        <f t="shared" si="5"/>
        <v>135655.98136924717</v>
      </c>
      <c r="M15" s="357">
        <f t="shared" si="5"/>
        <v>139725.6608103246</v>
      </c>
      <c r="N15" s="357">
        <f t="shared" si="5"/>
        <v>143917.43063463434</v>
      </c>
      <c r="O15" s="357">
        <f t="shared" si="5"/>
        <v>148234.95355367337</v>
      </c>
      <c r="P15" s="357">
        <f t="shared" si="5"/>
        <v>152682.00216028359</v>
      </c>
      <c r="Q15" s="357">
        <f t="shared" si="5"/>
        <v>157262.46222509211</v>
      </c>
      <c r="R15" s="357">
        <f t="shared" si="5"/>
        <v>161980.33609184489</v>
      </c>
      <c r="S15" s="357">
        <f t="shared" si="5"/>
        <v>166839.74617460024</v>
      </c>
      <c r="T15" s="357">
        <f t="shared" si="5"/>
        <v>171844.93855983825</v>
      </c>
      <c r="U15" s="357">
        <f t="shared" si="5"/>
        <v>177000.28671663339</v>
      </c>
      <c r="V15" s="357">
        <f t="shared" si="5"/>
        <v>182310.29531813238</v>
      </c>
      <c r="W15" s="357">
        <f t="shared" si="5"/>
        <v>187779.60417767634</v>
      </c>
      <c r="X15" s="357">
        <f t="shared" si="5"/>
        <v>193412.99230300664</v>
      </c>
      <c r="Y15" s="367">
        <f>IF(C15="N/A","N/A",SUM(E15:X15))</f>
        <v>2963821.838593659</v>
      </c>
    </row>
    <row r="16" spans="1:26" x14ac:dyDescent="0.25">
      <c r="A16" s="649"/>
      <c r="B16" s="538"/>
      <c r="C16" s="646"/>
      <c r="D16" s="58" t="s">
        <v>201</v>
      </c>
      <c r="E16" s="358">
        <f>IF(C15="N/A","N/A",'Annual Maintenance Cost'!D7)</f>
        <v>1220</v>
      </c>
      <c r="F16" s="359">
        <f t="shared" ref="F16:X16" si="6">IF($C$15="N/A","N/A",E16*(1+$B$4))</f>
        <v>1256.6000000000001</v>
      </c>
      <c r="G16" s="359">
        <f t="shared" si="6"/>
        <v>1294.2980000000002</v>
      </c>
      <c r="H16" s="359">
        <f t="shared" si="6"/>
        <v>1333.1269400000003</v>
      </c>
      <c r="I16" s="359">
        <f t="shared" si="6"/>
        <v>1373.1207482000004</v>
      </c>
      <c r="J16" s="359">
        <f t="shared" si="6"/>
        <v>1414.3143706460005</v>
      </c>
      <c r="K16" s="359">
        <f t="shared" si="6"/>
        <v>1456.7438017653806</v>
      </c>
      <c r="L16" s="359">
        <f t="shared" si="6"/>
        <v>1500.4461158183419</v>
      </c>
      <c r="M16" s="359">
        <f t="shared" si="6"/>
        <v>1545.4594992928921</v>
      </c>
      <c r="N16" s="359">
        <f t="shared" si="6"/>
        <v>1591.8232842716789</v>
      </c>
      <c r="O16" s="359">
        <f t="shared" si="6"/>
        <v>1639.5779827998292</v>
      </c>
      <c r="P16" s="359">
        <f t="shared" si="6"/>
        <v>1688.7653222838242</v>
      </c>
      <c r="Q16" s="359">
        <f t="shared" si="6"/>
        <v>1739.4282819523389</v>
      </c>
      <c r="R16" s="359">
        <f t="shared" si="6"/>
        <v>1791.611130410909</v>
      </c>
      <c r="S16" s="359">
        <f t="shared" si="6"/>
        <v>1845.3594643232364</v>
      </c>
      <c r="T16" s="359">
        <f t="shared" si="6"/>
        <v>1900.7202482529335</v>
      </c>
      <c r="U16" s="359">
        <f t="shared" si="6"/>
        <v>1957.7418557005217</v>
      </c>
      <c r="V16" s="359">
        <f t="shared" si="6"/>
        <v>2016.4741113715374</v>
      </c>
      <c r="W16" s="359">
        <f t="shared" si="6"/>
        <v>2076.9683347126838</v>
      </c>
      <c r="X16" s="359">
        <f t="shared" si="6"/>
        <v>2139.2773847540643</v>
      </c>
      <c r="Y16" s="413">
        <f>IF(C15="N/A","N/A",SUM(E16:X16))</f>
        <v>32781.856876556172</v>
      </c>
    </row>
    <row r="17" spans="1:26" x14ac:dyDescent="0.25">
      <c r="A17" s="649"/>
      <c r="B17" s="538"/>
      <c r="C17" s="646"/>
      <c r="D17" s="58" t="s">
        <v>202</v>
      </c>
      <c r="E17" s="359">
        <f>IF(C15="N/A","N/A",'Carbon Cost'!G12)</f>
        <v>15024.707513983791</v>
      </c>
      <c r="F17" s="359">
        <f t="shared" ref="F17:X17" si="7">IF($C$15="N/A","N/A",E17*(1+$B$5))</f>
        <v>15475.448739403304</v>
      </c>
      <c r="G17" s="359">
        <f t="shared" si="7"/>
        <v>15939.712201585404</v>
      </c>
      <c r="H17" s="359">
        <f t="shared" si="7"/>
        <v>16417.903567632966</v>
      </c>
      <c r="I17" s="359">
        <f t="shared" si="7"/>
        <v>16910.440674661957</v>
      </c>
      <c r="J17" s="359">
        <f t="shared" si="7"/>
        <v>17417.753894901816</v>
      </c>
      <c r="K17" s="359">
        <f t="shared" si="7"/>
        <v>17940.286511748873</v>
      </c>
      <c r="L17" s="359">
        <f t="shared" si="7"/>
        <v>18478.495107101338</v>
      </c>
      <c r="M17" s="359">
        <f t="shared" si="7"/>
        <v>19032.849960314379</v>
      </c>
      <c r="N17" s="359">
        <f t="shared" si="7"/>
        <v>19603.835459123809</v>
      </c>
      <c r="O17" s="359">
        <f t="shared" si="7"/>
        <v>20191.950522897525</v>
      </c>
      <c r="P17" s="359">
        <f t="shared" si="7"/>
        <v>20797.709038584449</v>
      </c>
      <c r="Q17" s="359">
        <f t="shared" si="7"/>
        <v>21421.640309741982</v>
      </c>
      <c r="R17" s="359">
        <f t="shared" si="7"/>
        <v>22064.289519034242</v>
      </c>
      <c r="S17" s="359">
        <f t="shared" si="7"/>
        <v>22726.218204605269</v>
      </c>
      <c r="T17" s="359">
        <f t="shared" si="7"/>
        <v>23408.004750743428</v>
      </c>
      <c r="U17" s="359">
        <f t="shared" si="7"/>
        <v>24110.244893265732</v>
      </c>
      <c r="V17" s="359">
        <f t="shared" si="7"/>
        <v>24833.552240063706</v>
      </c>
      <c r="W17" s="359">
        <f t="shared" si="7"/>
        <v>25578.558807265617</v>
      </c>
      <c r="X17" s="359">
        <f t="shared" si="7"/>
        <v>26345.915571483587</v>
      </c>
      <c r="Y17" s="367">
        <f>IF(C15="N/A","N/A",SUM(E17:X17))</f>
        <v>403719.51748814317</v>
      </c>
    </row>
    <row r="18" spans="1:26" x14ac:dyDescent="0.25">
      <c r="A18" s="649"/>
      <c r="B18" s="539"/>
      <c r="C18" s="647"/>
      <c r="D18" s="58" t="s">
        <v>203</v>
      </c>
      <c r="E18" s="359">
        <f>IF($C$15="N/A","N/A",SUM(E15:E17))</f>
        <v>126545.43442827082</v>
      </c>
      <c r="F18" s="359">
        <f t="shared" ref="F18:X18" si="8">IF($C$15="N/A","N/A",SUM(F15:F17))</f>
        <v>130341.79746111894</v>
      </c>
      <c r="G18" s="359">
        <f t="shared" si="8"/>
        <v>134252.0513849525</v>
      </c>
      <c r="H18" s="359">
        <f t="shared" si="8"/>
        <v>138279.61292650108</v>
      </c>
      <c r="I18" s="359">
        <f t="shared" si="8"/>
        <v>142428.00131429613</v>
      </c>
      <c r="J18" s="359">
        <f t="shared" si="8"/>
        <v>146700.841353725</v>
      </c>
      <c r="K18" s="359">
        <f t="shared" si="8"/>
        <v>151101.86659433675</v>
      </c>
      <c r="L18" s="359">
        <f t="shared" si="8"/>
        <v>155634.92259216684</v>
      </c>
      <c r="M18" s="359">
        <f t="shared" si="8"/>
        <v>160303.97026993186</v>
      </c>
      <c r="N18" s="359">
        <f t="shared" si="8"/>
        <v>165113.08937802981</v>
      </c>
      <c r="O18" s="359">
        <f t="shared" si="8"/>
        <v>170066.48205937073</v>
      </c>
      <c r="P18" s="359">
        <f t="shared" si="8"/>
        <v>175168.47652115184</v>
      </c>
      <c r="Q18" s="359">
        <f t="shared" si="8"/>
        <v>180423.53081678643</v>
      </c>
      <c r="R18" s="359">
        <f t="shared" si="8"/>
        <v>185836.23674129005</v>
      </c>
      <c r="S18" s="359">
        <f t="shared" si="8"/>
        <v>191411.32384352875</v>
      </c>
      <c r="T18" s="359">
        <f t="shared" si="8"/>
        <v>197153.66355883461</v>
      </c>
      <c r="U18" s="359">
        <f t="shared" si="8"/>
        <v>203068.27346559966</v>
      </c>
      <c r="V18" s="359">
        <f t="shared" si="8"/>
        <v>209160.32166956761</v>
      </c>
      <c r="W18" s="359">
        <f t="shared" si="8"/>
        <v>215435.13131965464</v>
      </c>
      <c r="X18" s="359">
        <f t="shared" si="8"/>
        <v>221898.18525924429</v>
      </c>
      <c r="Y18" s="413">
        <f>IF($C$15="N/A","N/A",SUM(C18:X18))</f>
        <v>3400323.2129583587</v>
      </c>
    </row>
    <row r="19" spans="1:26" ht="15.75" thickBot="1" x14ac:dyDescent="0.3">
      <c r="A19" s="650"/>
      <c r="B19" s="101" t="s">
        <v>189</v>
      </c>
      <c r="C19" s="229">
        <f>C15</f>
        <v>5127154.8337777779</v>
      </c>
      <c r="D19" s="101" t="s">
        <v>189</v>
      </c>
      <c r="E19" s="229">
        <f t="shared" ref="E19:X19" si="9">IF($C$15="N/A","N/A",-PV($B$2,E$8,0,E18,0))</f>
        <v>120519.46136025792</v>
      </c>
      <c r="F19" s="229">
        <f t="shared" si="9"/>
        <v>118223.85257244349</v>
      </c>
      <c r="G19" s="229">
        <f t="shared" si="9"/>
        <v>115971.96966630168</v>
      </c>
      <c r="H19" s="229">
        <f t="shared" si="9"/>
        <v>113762.97976789596</v>
      </c>
      <c r="I19" s="229">
        <f t="shared" si="9"/>
        <v>111596.06586755508</v>
      </c>
      <c r="J19" s="229">
        <f t="shared" si="9"/>
        <v>109470.42651769689</v>
      </c>
      <c r="K19" s="229">
        <f t="shared" si="9"/>
        <v>107385.27553640741</v>
      </c>
      <c r="L19" s="229">
        <f t="shared" si="9"/>
        <v>105339.84171666631</v>
      </c>
      <c r="M19" s="229">
        <f t="shared" si="9"/>
        <v>103333.36854111077</v>
      </c>
      <c r="N19" s="229">
        <f t="shared" si="9"/>
        <v>101365.11390223246</v>
      </c>
      <c r="O19" s="229">
        <f t="shared" si="9"/>
        <v>99434.34982790424</v>
      </c>
      <c r="P19" s="229">
        <f t="shared" si="9"/>
        <v>97540.362212134642</v>
      </c>
      <c r="Q19" s="229">
        <f t="shared" si="9"/>
        <v>95682.450550951122</v>
      </c>
      <c r="R19" s="229">
        <f t="shared" si="9"/>
        <v>93859.927683314003</v>
      </c>
      <c r="S19" s="229">
        <f t="shared" si="9"/>
        <v>92072.119536965125</v>
      </c>
      <c r="T19" s="229">
        <f t="shared" si="9"/>
        <v>90318.364879118177</v>
      </c>
      <c r="U19" s="229">
        <f t="shared" si="9"/>
        <v>88598.01507189688</v>
      </c>
      <c r="V19" s="229">
        <f t="shared" si="9"/>
        <v>86910.433832432158</v>
      </c>
      <c r="W19" s="229">
        <f t="shared" si="9"/>
        <v>85254.996997528695</v>
      </c>
      <c r="X19" s="229">
        <f t="shared" si="9"/>
        <v>83631.092292813861</v>
      </c>
      <c r="Y19" s="414">
        <f>IF($C$15="N/A","N/A",SUM(C19:X19))</f>
        <v>7147425.3021114059</v>
      </c>
      <c r="Z19" t="s">
        <v>198</v>
      </c>
    </row>
    <row r="20" spans="1:26" ht="15" customHeight="1" x14ac:dyDescent="0.25">
      <c r="A20" s="651" t="s">
        <v>196</v>
      </c>
      <c r="B20" s="648" t="s">
        <v>188</v>
      </c>
      <c r="C20" s="645">
        <f>IF(Summary!D21="Yes",('Capital Cost'!E10),"N/A")</f>
        <v>4377914.444444444</v>
      </c>
      <c r="D20" s="62" t="s">
        <v>200</v>
      </c>
      <c r="E20" s="361">
        <f>IF(C20="N/A","N/A",('Energy Cost'!M10))</f>
        <v>92473.912717863815</v>
      </c>
      <c r="F20" s="361">
        <f t="shared" ref="F20:X20" si="10">IF($C$20="N/A","N/A",E20*(1+$B$3))</f>
        <v>95248.130099399728</v>
      </c>
      <c r="G20" s="361">
        <f t="shared" si="10"/>
        <v>98105.57400238172</v>
      </c>
      <c r="H20" s="361">
        <f t="shared" si="10"/>
        <v>101048.74122245317</v>
      </c>
      <c r="I20" s="361">
        <f t="shared" si="10"/>
        <v>104080.20345912677</v>
      </c>
      <c r="J20" s="361">
        <f t="shared" si="10"/>
        <v>107202.60956290057</v>
      </c>
      <c r="K20" s="361">
        <f t="shared" si="10"/>
        <v>110418.68784978759</v>
      </c>
      <c r="L20" s="361">
        <f t="shared" si="10"/>
        <v>113731.24848528122</v>
      </c>
      <c r="M20" s="361">
        <f t="shared" si="10"/>
        <v>117143.18593983966</v>
      </c>
      <c r="N20" s="361">
        <f t="shared" si="10"/>
        <v>120657.48151803485</v>
      </c>
      <c r="O20" s="361">
        <f t="shared" si="10"/>
        <v>124277.20596357591</v>
      </c>
      <c r="P20" s="361">
        <f t="shared" si="10"/>
        <v>128005.52214248318</v>
      </c>
      <c r="Q20" s="361">
        <f t="shared" si="10"/>
        <v>131845.68780675769</v>
      </c>
      <c r="R20" s="361">
        <f t="shared" si="10"/>
        <v>135801.05844096042</v>
      </c>
      <c r="S20" s="361">
        <f t="shared" si="10"/>
        <v>139875.09019418922</v>
      </c>
      <c r="T20" s="361">
        <f t="shared" si="10"/>
        <v>144071.34290001489</v>
      </c>
      <c r="U20" s="361">
        <f t="shared" si="10"/>
        <v>148393.48318701534</v>
      </c>
      <c r="V20" s="361">
        <f t="shared" si="10"/>
        <v>152845.28768262581</v>
      </c>
      <c r="W20" s="361">
        <f t="shared" si="10"/>
        <v>157430.6463131046</v>
      </c>
      <c r="X20" s="361">
        <f t="shared" si="10"/>
        <v>162153.56570249776</v>
      </c>
      <c r="Y20" s="412">
        <f>IF(C20="N/A","N/A",SUM(E20:X20))</f>
        <v>2484808.6651902944</v>
      </c>
    </row>
    <row r="21" spans="1:26" x14ac:dyDescent="0.25">
      <c r="A21" s="649"/>
      <c r="B21" s="538"/>
      <c r="C21" s="646"/>
      <c r="D21" s="58" t="s">
        <v>201</v>
      </c>
      <c r="E21" s="359">
        <f>IF(C20="N/A","N/A",'Annual Maintenance Cost'!E7)</f>
        <v>24400</v>
      </c>
      <c r="F21" s="359">
        <f t="shared" ref="F21:X21" si="11">IF($C$20="N/A","N/A",E21*(1+$B$4))</f>
        <v>25132</v>
      </c>
      <c r="G21" s="359">
        <f t="shared" si="11"/>
        <v>25885.96</v>
      </c>
      <c r="H21" s="359">
        <f t="shared" si="11"/>
        <v>26662.538799999998</v>
      </c>
      <c r="I21" s="359">
        <f t="shared" si="11"/>
        <v>27462.414964</v>
      </c>
      <c r="J21" s="359">
        <f t="shared" si="11"/>
        <v>28286.287412919999</v>
      </c>
      <c r="K21" s="359">
        <f t="shared" si="11"/>
        <v>29134.8760353076</v>
      </c>
      <c r="L21" s="359">
        <f t="shared" si="11"/>
        <v>30008.922316366828</v>
      </c>
      <c r="M21" s="359">
        <f t="shared" si="11"/>
        <v>30909.189985857833</v>
      </c>
      <c r="N21" s="359">
        <f t="shared" si="11"/>
        <v>31836.46568543357</v>
      </c>
      <c r="O21" s="359">
        <f t="shared" si="11"/>
        <v>32791.559655996578</v>
      </c>
      <c r="P21" s="359">
        <f t="shared" si="11"/>
        <v>33775.306445676477</v>
      </c>
      <c r="Q21" s="359">
        <f t="shared" si="11"/>
        <v>34788.56563904677</v>
      </c>
      <c r="R21" s="359">
        <f t="shared" si="11"/>
        <v>35832.222608218173</v>
      </c>
      <c r="S21" s="359">
        <f t="shared" si="11"/>
        <v>36907.189286464716</v>
      </c>
      <c r="T21" s="359">
        <f t="shared" si="11"/>
        <v>38014.40496505866</v>
      </c>
      <c r="U21" s="359">
        <f t="shared" si="11"/>
        <v>39154.837114010421</v>
      </c>
      <c r="V21" s="359">
        <f t="shared" si="11"/>
        <v>40329.482227430737</v>
      </c>
      <c r="W21" s="359">
        <f t="shared" si="11"/>
        <v>41539.366694253658</v>
      </c>
      <c r="X21" s="359">
        <f t="shared" si="11"/>
        <v>42785.547695081266</v>
      </c>
      <c r="Y21" s="413">
        <f>IF(C20="N/A","N/A",SUM(E21:X21))</f>
        <v>655637.13753112336</v>
      </c>
    </row>
    <row r="22" spans="1:26" x14ac:dyDescent="0.25">
      <c r="A22" s="649"/>
      <c r="B22" s="538"/>
      <c r="C22" s="646"/>
      <c r="D22" s="58" t="s">
        <v>202</v>
      </c>
      <c r="E22" s="359">
        <f>IF($C$20="N/A","N/A",'Carbon Cost'!H12)</f>
        <v>12374.039817776436</v>
      </c>
      <c r="F22" s="359">
        <f t="shared" ref="F22:X22" si="12">IF($C$20="N/A","N/A",E22*(1+$B$5))</f>
        <v>12745.261012309729</v>
      </c>
      <c r="G22" s="359">
        <f t="shared" si="12"/>
        <v>13127.618842679021</v>
      </c>
      <c r="H22" s="359">
        <f t="shared" si="12"/>
        <v>13521.447407959393</v>
      </c>
      <c r="I22" s="359">
        <f t="shared" si="12"/>
        <v>13927.090830198174</v>
      </c>
      <c r="J22" s="359">
        <f t="shared" si="12"/>
        <v>14344.90355510412</v>
      </c>
      <c r="K22" s="359">
        <f t="shared" si="12"/>
        <v>14775.250661757244</v>
      </c>
      <c r="L22" s="359">
        <f t="shared" si="12"/>
        <v>15218.508181609961</v>
      </c>
      <c r="M22" s="359">
        <f t="shared" si="12"/>
        <v>15675.06342705826</v>
      </c>
      <c r="N22" s="359">
        <f t="shared" si="12"/>
        <v>16145.315329870007</v>
      </c>
      <c r="O22" s="359">
        <f t="shared" si="12"/>
        <v>16629.674789766108</v>
      </c>
      <c r="P22" s="359">
        <f t="shared" si="12"/>
        <v>17128.56503345909</v>
      </c>
      <c r="Q22" s="359">
        <f t="shared" si="12"/>
        <v>17642.421984462864</v>
      </c>
      <c r="R22" s="359">
        <f t="shared" si="12"/>
        <v>18171.694643996751</v>
      </c>
      <c r="S22" s="359">
        <f t="shared" si="12"/>
        <v>18716.845483316654</v>
      </c>
      <c r="T22" s="359">
        <f t="shared" si="12"/>
        <v>19278.350847816153</v>
      </c>
      <c r="U22" s="359">
        <f t="shared" si="12"/>
        <v>19856.701373250638</v>
      </c>
      <c r="V22" s="359">
        <f t="shared" si="12"/>
        <v>20452.402414448159</v>
      </c>
      <c r="W22" s="359">
        <f t="shared" si="12"/>
        <v>21065.974486881605</v>
      </c>
      <c r="X22" s="359">
        <f t="shared" si="12"/>
        <v>21697.953721488055</v>
      </c>
      <c r="Y22" s="367">
        <f>IF(C20="N/A","N/A",SUM(E22:X22))</f>
        <v>332495.08384520846</v>
      </c>
    </row>
    <row r="23" spans="1:26" x14ac:dyDescent="0.25">
      <c r="A23" s="649"/>
      <c r="B23" s="539"/>
      <c r="C23" s="647"/>
      <c r="D23" s="58" t="s">
        <v>203</v>
      </c>
      <c r="E23" s="359">
        <f>IF($C$20="N/A","N/A",SUM(E20:E22))</f>
        <v>129247.95253564024</v>
      </c>
      <c r="F23" s="359">
        <f t="shared" ref="F23:X23" si="13">IF($C$20="N/A","N/A",SUM(F20:F22))</f>
        <v>133125.39111170947</v>
      </c>
      <c r="G23" s="359">
        <f t="shared" si="13"/>
        <v>137119.15284506074</v>
      </c>
      <c r="H23" s="359">
        <f t="shared" si="13"/>
        <v>141232.72743041255</v>
      </c>
      <c r="I23" s="359">
        <f t="shared" si="13"/>
        <v>145469.70925332495</v>
      </c>
      <c r="J23" s="359">
        <f t="shared" si="13"/>
        <v>149833.80053092469</v>
      </c>
      <c r="K23" s="359">
        <f t="shared" si="13"/>
        <v>154328.81454685243</v>
      </c>
      <c r="L23" s="359">
        <f t="shared" si="13"/>
        <v>158958.67898325803</v>
      </c>
      <c r="M23" s="359">
        <f t="shared" si="13"/>
        <v>163727.43935275575</v>
      </c>
      <c r="N23" s="359">
        <f t="shared" si="13"/>
        <v>168639.26253333842</v>
      </c>
      <c r="O23" s="359">
        <f t="shared" si="13"/>
        <v>173698.4404093386</v>
      </c>
      <c r="P23" s="359">
        <f t="shared" si="13"/>
        <v>178909.39362161874</v>
      </c>
      <c r="Q23" s="359">
        <f t="shared" si="13"/>
        <v>184276.67543026732</v>
      </c>
      <c r="R23" s="359">
        <f t="shared" si="13"/>
        <v>189804.97569317534</v>
      </c>
      <c r="S23" s="359">
        <f t="shared" si="13"/>
        <v>195499.12496397059</v>
      </c>
      <c r="T23" s="359">
        <f t="shared" si="13"/>
        <v>201364.09871288971</v>
      </c>
      <c r="U23" s="359">
        <f t="shared" si="13"/>
        <v>207405.02167427639</v>
      </c>
      <c r="V23" s="359">
        <f t="shared" si="13"/>
        <v>213627.1723245047</v>
      </c>
      <c r="W23" s="359">
        <f t="shared" si="13"/>
        <v>220035.98749423987</v>
      </c>
      <c r="X23" s="359">
        <f t="shared" si="13"/>
        <v>226637.06711906707</v>
      </c>
      <c r="Y23" s="413">
        <f>IF(C20="N/A","N/A",SUM(C23:X23))</f>
        <v>3472940.8865666259</v>
      </c>
    </row>
    <row r="24" spans="1:26" ht="15.75" thickBot="1" x14ac:dyDescent="0.3">
      <c r="A24" s="650"/>
      <c r="B24" s="101" t="s">
        <v>189</v>
      </c>
      <c r="C24" s="229">
        <f>C20</f>
        <v>4377914.444444444</v>
      </c>
      <c r="D24" s="101" t="s">
        <v>189</v>
      </c>
      <c r="E24" s="229">
        <f t="shared" ref="E24:X24" si="14">IF($C$20="N/A","N/A",-PV($B$2,E$8,0,E23,0))</f>
        <v>123093.28812918118</v>
      </c>
      <c r="F24" s="229">
        <f t="shared" si="14"/>
        <v>120748.65406957775</v>
      </c>
      <c r="G24" s="229">
        <f t="shared" si="14"/>
        <v>118448.67970634767</v>
      </c>
      <c r="H24" s="229">
        <f t="shared" si="14"/>
        <v>116192.51437860771</v>
      </c>
      <c r="I24" s="229">
        <f t="shared" si="14"/>
        <v>113979.32362853902</v>
      </c>
      <c r="J24" s="229">
        <f t="shared" si="14"/>
        <v>111808.28889275732</v>
      </c>
      <c r="K24" s="229">
        <f t="shared" si="14"/>
        <v>109678.60719956193</v>
      </c>
      <c r="L24" s="229">
        <f t="shared" si="14"/>
        <v>107589.49087195125</v>
      </c>
      <c r="M24" s="229">
        <f t="shared" si="14"/>
        <v>105540.16723629502</v>
      </c>
      <c r="N24" s="229">
        <f t="shared" si="14"/>
        <v>103529.87833655607</v>
      </c>
      <c r="O24" s="229">
        <f t="shared" si="14"/>
        <v>101557.880653955</v>
      </c>
      <c r="P24" s="229">
        <f t="shared" si="14"/>
        <v>99623.444831974921</v>
      </c>
      <c r="Q24" s="229">
        <f t="shared" si="14"/>
        <v>97725.855406603951</v>
      </c>
      <c r="R24" s="229">
        <f t="shared" si="14"/>
        <v>95864.410541716279</v>
      </c>
      <c r="S24" s="229">
        <f t="shared" si="14"/>
        <v>94038.421769493085</v>
      </c>
      <c r="T24" s="229">
        <f t="shared" si="14"/>
        <v>92247.213735788464</v>
      </c>
      <c r="U24" s="229">
        <f t="shared" si="14"/>
        <v>90490.123950344845</v>
      </c>
      <c r="V24" s="229">
        <f t="shared" si="14"/>
        <v>88766.502541766866</v>
      </c>
      <c r="W24" s="229">
        <f t="shared" si="14"/>
        <v>87075.712017161801</v>
      </c>
      <c r="X24" s="229">
        <f t="shared" si="14"/>
        <v>85417.127026358721</v>
      </c>
      <c r="Y24" s="414">
        <f>IF($C$20="N/A","N/A",SUM(C24:X24))</f>
        <v>6441330.0293689808</v>
      </c>
      <c r="Z24" t="s">
        <v>198</v>
      </c>
    </row>
    <row r="25" spans="1:26" x14ac:dyDescent="0.25">
      <c r="A25" s="651" t="s">
        <v>197</v>
      </c>
      <c r="B25" s="648" t="s">
        <v>188</v>
      </c>
      <c r="C25" s="645" t="str">
        <f>IF(Summary!F21="yes",('Capital Cost'!F10),"N/A")</f>
        <v>N/A</v>
      </c>
      <c r="D25" s="62" t="s">
        <v>200</v>
      </c>
      <c r="E25" s="361" t="str">
        <f>IF(C25="N/A","N/A",('Energy Cost'!M10))</f>
        <v>N/A</v>
      </c>
      <c r="F25" s="361" t="str">
        <f t="shared" ref="F25:X25" si="15">IF($C$25="N/A","N/A",E25*(1+$B$3))</f>
        <v>N/A</v>
      </c>
      <c r="G25" s="361" t="str">
        <f t="shared" si="15"/>
        <v>N/A</v>
      </c>
      <c r="H25" s="361" t="str">
        <f t="shared" si="15"/>
        <v>N/A</v>
      </c>
      <c r="I25" s="361" t="str">
        <f t="shared" si="15"/>
        <v>N/A</v>
      </c>
      <c r="J25" s="361" t="str">
        <f t="shared" si="15"/>
        <v>N/A</v>
      </c>
      <c r="K25" s="361" t="str">
        <f t="shared" si="15"/>
        <v>N/A</v>
      </c>
      <c r="L25" s="361" t="str">
        <f t="shared" si="15"/>
        <v>N/A</v>
      </c>
      <c r="M25" s="361" t="str">
        <f t="shared" si="15"/>
        <v>N/A</v>
      </c>
      <c r="N25" s="361" t="str">
        <f t="shared" si="15"/>
        <v>N/A</v>
      </c>
      <c r="O25" s="361" t="str">
        <f t="shared" si="15"/>
        <v>N/A</v>
      </c>
      <c r="P25" s="361" t="str">
        <f t="shared" si="15"/>
        <v>N/A</v>
      </c>
      <c r="Q25" s="361" t="str">
        <f t="shared" si="15"/>
        <v>N/A</v>
      </c>
      <c r="R25" s="361" t="str">
        <f t="shared" si="15"/>
        <v>N/A</v>
      </c>
      <c r="S25" s="361" t="str">
        <f t="shared" si="15"/>
        <v>N/A</v>
      </c>
      <c r="T25" s="361" t="str">
        <f t="shared" si="15"/>
        <v>N/A</v>
      </c>
      <c r="U25" s="361" t="str">
        <f t="shared" si="15"/>
        <v>N/A</v>
      </c>
      <c r="V25" s="361" t="str">
        <f t="shared" si="15"/>
        <v>N/A</v>
      </c>
      <c r="W25" s="361" t="str">
        <f t="shared" si="15"/>
        <v>N/A</v>
      </c>
      <c r="X25" s="361" t="str">
        <f t="shared" si="15"/>
        <v>N/A</v>
      </c>
      <c r="Y25" s="412" t="str">
        <f>IF(C25="N/A","N/A",SUM(E25:X25))</f>
        <v>N/A</v>
      </c>
    </row>
    <row r="26" spans="1:26" x14ac:dyDescent="0.25">
      <c r="A26" s="649"/>
      <c r="B26" s="538"/>
      <c r="C26" s="646"/>
      <c r="D26" s="58" t="s">
        <v>201</v>
      </c>
      <c r="E26" s="359" t="str">
        <f>IF(C25="N/A", "N/A", 'Annual Maintenance Cost'!F7)</f>
        <v>N/A</v>
      </c>
      <c r="F26" s="359" t="str">
        <f t="shared" ref="F26:X26" si="16">IF($C$25="N/A","N/A",E26*(1+$B$4))</f>
        <v>N/A</v>
      </c>
      <c r="G26" s="359" t="str">
        <f t="shared" si="16"/>
        <v>N/A</v>
      </c>
      <c r="H26" s="359" t="str">
        <f t="shared" si="16"/>
        <v>N/A</v>
      </c>
      <c r="I26" s="359" t="str">
        <f t="shared" si="16"/>
        <v>N/A</v>
      </c>
      <c r="J26" s="359" t="str">
        <f t="shared" si="16"/>
        <v>N/A</v>
      </c>
      <c r="K26" s="359" t="str">
        <f t="shared" si="16"/>
        <v>N/A</v>
      </c>
      <c r="L26" s="359" t="str">
        <f t="shared" si="16"/>
        <v>N/A</v>
      </c>
      <c r="M26" s="359" t="str">
        <f t="shared" si="16"/>
        <v>N/A</v>
      </c>
      <c r="N26" s="359" t="str">
        <f t="shared" si="16"/>
        <v>N/A</v>
      </c>
      <c r="O26" s="359" t="str">
        <f t="shared" si="16"/>
        <v>N/A</v>
      </c>
      <c r="P26" s="359" t="str">
        <f t="shared" si="16"/>
        <v>N/A</v>
      </c>
      <c r="Q26" s="359" t="str">
        <f t="shared" si="16"/>
        <v>N/A</v>
      </c>
      <c r="R26" s="359" t="str">
        <f t="shared" si="16"/>
        <v>N/A</v>
      </c>
      <c r="S26" s="359" t="str">
        <f t="shared" si="16"/>
        <v>N/A</v>
      </c>
      <c r="T26" s="359" t="str">
        <f t="shared" si="16"/>
        <v>N/A</v>
      </c>
      <c r="U26" s="359" t="str">
        <f t="shared" si="16"/>
        <v>N/A</v>
      </c>
      <c r="V26" s="359" t="str">
        <f t="shared" si="16"/>
        <v>N/A</v>
      </c>
      <c r="W26" s="359" t="str">
        <f t="shared" si="16"/>
        <v>N/A</v>
      </c>
      <c r="X26" s="359" t="str">
        <f t="shared" si="16"/>
        <v>N/A</v>
      </c>
      <c r="Y26" s="413" t="str">
        <f>IF(C25="N/A","N/A",SUM(E26:X26))</f>
        <v>N/A</v>
      </c>
    </row>
    <row r="27" spans="1:26" x14ac:dyDescent="0.25">
      <c r="A27" s="649"/>
      <c r="B27" s="538"/>
      <c r="C27" s="646"/>
      <c r="D27" s="58" t="s">
        <v>202</v>
      </c>
      <c r="E27" s="359" t="str">
        <f>IF(C25="N/A","N/A",'Carbon Cost'!I12)</f>
        <v>N/A</v>
      </c>
      <c r="F27" s="359" t="str">
        <f t="shared" ref="F27:X27" si="17">IF($C$25="N/A","N/A",E27*(1+$B$5))</f>
        <v>N/A</v>
      </c>
      <c r="G27" s="359" t="str">
        <f t="shared" si="17"/>
        <v>N/A</v>
      </c>
      <c r="H27" s="359" t="str">
        <f t="shared" si="17"/>
        <v>N/A</v>
      </c>
      <c r="I27" s="359" t="str">
        <f t="shared" si="17"/>
        <v>N/A</v>
      </c>
      <c r="J27" s="359" t="str">
        <f t="shared" si="17"/>
        <v>N/A</v>
      </c>
      <c r="K27" s="359" t="str">
        <f t="shared" si="17"/>
        <v>N/A</v>
      </c>
      <c r="L27" s="359" t="str">
        <f t="shared" si="17"/>
        <v>N/A</v>
      </c>
      <c r="M27" s="359" t="str">
        <f t="shared" si="17"/>
        <v>N/A</v>
      </c>
      <c r="N27" s="359" t="str">
        <f t="shared" si="17"/>
        <v>N/A</v>
      </c>
      <c r="O27" s="359" t="str">
        <f t="shared" si="17"/>
        <v>N/A</v>
      </c>
      <c r="P27" s="359" t="str">
        <f t="shared" si="17"/>
        <v>N/A</v>
      </c>
      <c r="Q27" s="359" t="str">
        <f t="shared" si="17"/>
        <v>N/A</v>
      </c>
      <c r="R27" s="359" t="str">
        <f t="shared" si="17"/>
        <v>N/A</v>
      </c>
      <c r="S27" s="359" t="str">
        <f t="shared" si="17"/>
        <v>N/A</v>
      </c>
      <c r="T27" s="359" t="str">
        <f t="shared" si="17"/>
        <v>N/A</v>
      </c>
      <c r="U27" s="359" t="str">
        <f t="shared" si="17"/>
        <v>N/A</v>
      </c>
      <c r="V27" s="359" t="str">
        <f t="shared" si="17"/>
        <v>N/A</v>
      </c>
      <c r="W27" s="359" t="str">
        <f t="shared" si="17"/>
        <v>N/A</v>
      </c>
      <c r="X27" s="359" t="str">
        <f t="shared" si="17"/>
        <v>N/A</v>
      </c>
      <c r="Y27" s="367" t="str">
        <f>IF(C25="N/A","N/A",SUM(E27:X27))</f>
        <v>N/A</v>
      </c>
    </row>
    <row r="28" spans="1:26" x14ac:dyDescent="0.25">
      <c r="A28" s="649"/>
      <c r="B28" s="539"/>
      <c r="C28" s="647"/>
      <c r="D28" s="58" t="s">
        <v>203</v>
      </c>
      <c r="E28" s="359" t="str">
        <f>IF($C$25="N/A","N/A",SUM(E25:E27))</f>
        <v>N/A</v>
      </c>
      <c r="F28" s="359" t="str">
        <f>IF($C$25="N/A","N/A",SUM(F25:F27))</f>
        <v>N/A</v>
      </c>
      <c r="G28" s="359" t="str">
        <f t="shared" ref="G28:X28" si="18">IF($C$25="N/A","N/A",SUM(G25:G27))</f>
        <v>N/A</v>
      </c>
      <c r="H28" s="359" t="str">
        <f t="shared" si="18"/>
        <v>N/A</v>
      </c>
      <c r="I28" s="359" t="str">
        <f t="shared" si="18"/>
        <v>N/A</v>
      </c>
      <c r="J28" s="359" t="str">
        <f t="shared" si="18"/>
        <v>N/A</v>
      </c>
      <c r="K28" s="359" t="str">
        <f t="shared" si="18"/>
        <v>N/A</v>
      </c>
      <c r="L28" s="359" t="str">
        <f t="shared" si="18"/>
        <v>N/A</v>
      </c>
      <c r="M28" s="359" t="str">
        <f t="shared" si="18"/>
        <v>N/A</v>
      </c>
      <c r="N28" s="359" t="str">
        <f t="shared" si="18"/>
        <v>N/A</v>
      </c>
      <c r="O28" s="359" t="str">
        <f t="shared" si="18"/>
        <v>N/A</v>
      </c>
      <c r="P28" s="359" t="str">
        <f t="shared" si="18"/>
        <v>N/A</v>
      </c>
      <c r="Q28" s="359" t="str">
        <f t="shared" si="18"/>
        <v>N/A</v>
      </c>
      <c r="R28" s="359" t="str">
        <f t="shared" si="18"/>
        <v>N/A</v>
      </c>
      <c r="S28" s="359" t="str">
        <f t="shared" si="18"/>
        <v>N/A</v>
      </c>
      <c r="T28" s="359" t="str">
        <f t="shared" si="18"/>
        <v>N/A</v>
      </c>
      <c r="U28" s="359" t="str">
        <f t="shared" si="18"/>
        <v>N/A</v>
      </c>
      <c r="V28" s="359" t="str">
        <f t="shared" si="18"/>
        <v>N/A</v>
      </c>
      <c r="W28" s="359" t="str">
        <f t="shared" si="18"/>
        <v>N/A</v>
      </c>
      <c r="X28" s="359" t="str">
        <f t="shared" si="18"/>
        <v>N/A</v>
      </c>
      <c r="Y28" s="413" t="str">
        <f>IF(C25="N/A","N/A",SUM(C28:X28))</f>
        <v>N/A</v>
      </c>
    </row>
    <row r="29" spans="1:26" ht="15.75" thickBot="1" x14ac:dyDescent="0.3">
      <c r="A29" s="650"/>
      <c r="B29" s="101" t="s">
        <v>189</v>
      </c>
      <c r="C29" s="229" t="str">
        <f>C25</f>
        <v>N/A</v>
      </c>
      <c r="D29" s="101" t="s">
        <v>189</v>
      </c>
      <c r="E29" s="229" t="str">
        <f>IF(C25="N/A","N/A",-PV($B$2,E$8,0,E28,0))</f>
        <v>N/A</v>
      </c>
      <c r="F29" s="229" t="str">
        <f t="shared" ref="F29:X29" si="19">IF($C$25="N/A","N/A",-PV($B$2,F$8,0,F28,0))</f>
        <v>N/A</v>
      </c>
      <c r="G29" s="229" t="str">
        <f t="shared" si="19"/>
        <v>N/A</v>
      </c>
      <c r="H29" s="229" t="str">
        <f t="shared" si="19"/>
        <v>N/A</v>
      </c>
      <c r="I29" s="229" t="str">
        <f t="shared" si="19"/>
        <v>N/A</v>
      </c>
      <c r="J29" s="229" t="str">
        <f t="shared" si="19"/>
        <v>N/A</v>
      </c>
      <c r="K29" s="229" t="str">
        <f t="shared" si="19"/>
        <v>N/A</v>
      </c>
      <c r="L29" s="229" t="str">
        <f t="shared" si="19"/>
        <v>N/A</v>
      </c>
      <c r="M29" s="229" t="str">
        <f t="shared" si="19"/>
        <v>N/A</v>
      </c>
      <c r="N29" s="229" t="str">
        <f t="shared" si="19"/>
        <v>N/A</v>
      </c>
      <c r="O29" s="229" t="str">
        <f t="shared" si="19"/>
        <v>N/A</v>
      </c>
      <c r="P29" s="229" t="str">
        <f t="shared" si="19"/>
        <v>N/A</v>
      </c>
      <c r="Q29" s="229" t="str">
        <f t="shared" si="19"/>
        <v>N/A</v>
      </c>
      <c r="R29" s="229" t="str">
        <f t="shared" si="19"/>
        <v>N/A</v>
      </c>
      <c r="S29" s="229" t="str">
        <f t="shared" si="19"/>
        <v>N/A</v>
      </c>
      <c r="T29" s="229" t="str">
        <f t="shared" si="19"/>
        <v>N/A</v>
      </c>
      <c r="U29" s="229" t="str">
        <f t="shared" si="19"/>
        <v>N/A</v>
      </c>
      <c r="V29" s="229" t="str">
        <f t="shared" si="19"/>
        <v>N/A</v>
      </c>
      <c r="W29" s="229" t="str">
        <f t="shared" si="19"/>
        <v>N/A</v>
      </c>
      <c r="X29" s="229" t="str">
        <f t="shared" si="19"/>
        <v>N/A</v>
      </c>
      <c r="Y29" s="414" t="str">
        <f>IF(C25="N/A","N/A",SUM(C29:X29))</f>
        <v>N/A</v>
      </c>
      <c r="Z29" t="s">
        <v>198</v>
      </c>
    </row>
    <row r="37" spans="10:20" x14ac:dyDescent="0.25">
      <c r="P37" s="1" t="s">
        <v>252</v>
      </c>
      <c r="Q37" s="1" t="s">
        <v>253</v>
      </c>
      <c r="R37" s="1" t="s">
        <v>293</v>
      </c>
      <c r="S37" s="1" t="s">
        <v>294</v>
      </c>
      <c r="T37" s="1" t="s">
        <v>295</v>
      </c>
    </row>
    <row r="38" spans="10:20" x14ac:dyDescent="0.25">
      <c r="J38" s="513" t="str">
        <f>A10</f>
        <v>SCA Standard HVAC System (Air-Source Heat Pump RTUs)</v>
      </c>
      <c r="K38" s="603"/>
      <c r="L38" s="603"/>
      <c r="M38" s="603"/>
      <c r="N38" s="603"/>
      <c r="O38" s="514"/>
      <c r="P38" s="317">
        <f>Y14</f>
        <v>5981411.0484408885</v>
      </c>
      <c r="Q38" s="317">
        <f>'NPV (High)'!Y14</f>
        <v>9925969.0986842606</v>
      </c>
      <c r="R38" s="317">
        <f>MEDIAN(P38:Q38)</f>
        <v>7953690.0735625746</v>
      </c>
      <c r="S38" s="318">
        <f>(R38-P38)/R38</f>
        <v>0.24797031401529998</v>
      </c>
      <c r="T38" s="318">
        <f>(Q38-R38)/R38</f>
        <v>0.24797031401529998</v>
      </c>
    </row>
    <row r="39" spans="10:20" x14ac:dyDescent="0.25">
      <c r="J39" s="513" t="str">
        <f>A15</f>
        <v>Closed Loop HVAC Plant</v>
      </c>
      <c r="K39" s="603"/>
      <c r="L39" s="603"/>
      <c r="M39" s="603"/>
      <c r="N39" s="603"/>
      <c r="O39" s="514"/>
      <c r="P39" s="317">
        <f>Y19</f>
        <v>7147425.3021114059</v>
      </c>
      <c r="Q39" s="317">
        <f>'NPV (High)'!Y19</f>
        <v>14167956.60754529</v>
      </c>
      <c r="R39" s="317">
        <f t="shared" ref="R39:R41" si="20">MEDIAN(P39:Q39)</f>
        <v>10657690.954828348</v>
      </c>
      <c r="S39" s="318">
        <f t="shared" ref="S39:S41" si="21">(R39-P39)/R39</f>
        <v>0.32936455631851996</v>
      </c>
      <c r="T39" s="318">
        <f t="shared" ref="T39:T41" si="22">(Q39-R39)/R39</f>
        <v>0.32936455631851996</v>
      </c>
    </row>
    <row r="40" spans="10:20" x14ac:dyDescent="0.25">
      <c r="J40" s="513" t="str">
        <f>A20</f>
        <v>Standing Column HVAC Plant</v>
      </c>
      <c r="K40" s="603"/>
      <c r="L40" s="603"/>
      <c r="M40" s="603"/>
      <c r="N40" s="603"/>
      <c r="O40" s="514"/>
      <c r="P40" s="317">
        <f>Y24</f>
        <v>6441330.0293689808</v>
      </c>
      <c r="Q40" s="317">
        <f>'NPV (High)'!Y24</f>
        <v>12333115.309329705</v>
      </c>
      <c r="R40" s="317">
        <f t="shared" si="20"/>
        <v>9387222.6693493426</v>
      </c>
      <c r="S40" s="318">
        <f t="shared" si="21"/>
        <v>0.31381940577580342</v>
      </c>
      <c r="T40" s="318">
        <f t="shared" si="22"/>
        <v>0.31381940577580353</v>
      </c>
    </row>
    <row r="41" spans="10:20" x14ac:dyDescent="0.25">
      <c r="J41" s="513" t="str">
        <f>A25</f>
        <v>Open Loop HVAC Plant</v>
      </c>
      <c r="K41" s="603"/>
      <c r="L41" s="603"/>
      <c r="M41" s="603"/>
      <c r="N41" s="603"/>
      <c r="O41" s="514"/>
      <c r="P41" s="317" t="str">
        <f>Y29</f>
        <v>N/A</v>
      </c>
      <c r="Q41" s="317" t="str">
        <f>'NPV (High)'!Y29</f>
        <v>N/A</v>
      </c>
      <c r="R41" s="317" t="e">
        <f t="shared" si="20"/>
        <v>#NUM!</v>
      </c>
      <c r="S41" s="318" t="e">
        <f t="shared" si="21"/>
        <v>#NUM!</v>
      </c>
      <c r="T41" s="318" t="e">
        <f t="shared" si="22"/>
        <v>#VALUE!</v>
      </c>
    </row>
  </sheetData>
  <mergeCells count="22">
    <mergeCell ref="A20:A24"/>
    <mergeCell ref="B20:B23"/>
    <mergeCell ref="C20:C23"/>
    <mergeCell ref="A25:A29"/>
    <mergeCell ref="B25:B28"/>
    <mergeCell ref="C25:C28"/>
    <mergeCell ref="J38:O38"/>
    <mergeCell ref="J39:O39"/>
    <mergeCell ref="J40:O40"/>
    <mergeCell ref="J41:O41"/>
    <mergeCell ref="A1:B1"/>
    <mergeCell ref="A7:Y7"/>
    <mergeCell ref="A8:A9"/>
    <mergeCell ref="B8:B9"/>
    <mergeCell ref="Y8:Y9"/>
    <mergeCell ref="D8:D9"/>
    <mergeCell ref="A10:A14"/>
    <mergeCell ref="C10:C13"/>
    <mergeCell ref="B10:B13"/>
    <mergeCell ref="A15:A19"/>
    <mergeCell ref="B15:B18"/>
    <mergeCell ref="C15:C18"/>
  </mergeCells>
  <pageMargins left="0.7" right="0.7" top="0.75" bottom="0.75" header="0.3" footer="0.3"/>
  <pageSetup paperSize="3" scale="66"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pageSetUpPr fitToPage="1"/>
  </sheetPr>
  <dimension ref="A1:Z29"/>
  <sheetViews>
    <sheetView view="pageBreakPreview" zoomScaleNormal="80" zoomScaleSheetLayoutView="100" workbookViewId="0">
      <pane xSplit="4" topLeftCell="E1" activePane="topRight" state="frozen"/>
      <selection pane="topRight" activeCell="A10" sqref="A10:A14"/>
    </sheetView>
  </sheetViews>
  <sheetFormatPr defaultRowHeight="15" x14ac:dyDescent="0.25"/>
  <cols>
    <col min="1" max="1" width="23.5703125" bestFit="1" customWidth="1"/>
    <col min="2" max="2" width="13.28515625" bestFit="1" customWidth="1"/>
    <col min="3" max="3" width="13.85546875" bestFit="1" customWidth="1"/>
    <col min="4" max="4" width="18.5703125" bestFit="1" customWidth="1"/>
    <col min="5" max="24" width="10.5703125" customWidth="1"/>
    <col min="25" max="25" width="13.85546875" bestFit="1" customWidth="1"/>
    <col min="26" max="26" width="5" bestFit="1" customWidth="1"/>
    <col min="35" max="35" width="11.5703125" bestFit="1" customWidth="1"/>
  </cols>
  <sheetData>
    <row r="1" spans="1:26" x14ac:dyDescent="0.25">
      <c r="A1" s="517" t="s">
        <v>218</v>
      </c>
      <c r="B1" s="517"/>
    </row>
    <row r="2" spans="1:26" x14ac:dyDescent="0.25">
      <c r="A2" s="1" t="s">
        <v>195</v>
      </c>
      <c r="B2" s="100">
        <v>0.05</v>
      </c>
    </row>
    <row r="3" spans="1:26" x14ac:dyDescent="0.25">
      <c r="A3" s="1" t="s">
        <v>193</v>
      </c>
      <c r="B3" s="100">
        <v>0.04</v>
      </c>
    </row>
    <row r="4" spans="1:26" x14ac:dyDescent="0.25">
      <c r="A4" s="1" t="s">
        <v>194</v>
      </c>
      <c r="B4" s="100">
        <v>0.04</v>
      </c>
    </row>
    <row r="5" spans="1:26" x14ac:dyDescent="0.25">
      <c r="A5" s="1" t="s">
        <v>199</v>
      </c>
      <c r="B5" s="100">
        <v>0.04</v>
      </c>
    </row>
    <row r="6" spans="1:26" ht="15.75" thickBot="1" x14ac:dyDescent="0.3"/>
    <row r="7" spans="1:26" x14ac:dyDescent="0.25">
      <c r="A7" s="599" t="s">
        <v>222</v>
      </c>
      <c r="B7" s="600"/>
      <c r="C7" s="600"/>
      <c r="D7" s="600"/>
      <c r="E7" s="600"/>
      <c r="F7" s="600"/>
      <c r="G7" s="600"/>
      <c r="H7" s="600"/>
      <c r="I7" s="600"/>
      <c r="J7" s="600"/>
      <c r="K7" s="600"/>
      <c r="L7" s="600"/>
      <c r="M7" s="600"/>
      <c r="N7" s="600"/>
      <c r="O7" s="600"/>
      <c r="P7" s="600"/>
      <c r="Q7" s="600"/>
      <c r="R7" s="600"/>
      <c r="S7" s="600"/>
      <c r="T7" s="600"/>
      <c r="U7" s="600"/>
      <c r="V7" s="600"/>
      <c r="W7" s="600"/>
      <c r="X7" s="600"/>
      <c r="Y7" s="601"/>
    </row>
    <row r="8" spans="1:26" x14ac:dyDescent="0.25">
      <c r="A8" s="635" t="s">
        <v>23</v>
      </c>
      <c r="B8" s="527" t="s">
        <v>221</v>
      </c>
      <c r="C8" s="99">
        <v>0</v>
      </c>
      <c r="D8" s="527" t="s">
        <v>220</v>
      </c>
      <c r="E8" s="99">
        <v>1</v>
      </c>
      <c r="F8" s="99">
        <v>2</v>
      </c>
      <c r="G8" s="99">
        <v>3</v>
      </c>
      <c r="H8" s="99">
        <v>4</v>
      </c>
      <c r="I8" s="99">
        <v>5</v>
      </c>
      <c r="J8" s="99">
        <v>6</v>
      </c>
      <c r="K8" s="99">
        <v>7</v>
      </c>
      <c r="L8" s="99">
        <v>8</v>
      </c>
      <c r="M8" s="99">
        <v>9</v>
      </c>
      <c r="N8" s="99">
        <v>10</v>
      </c>
      <c r="O8" s="99">
        <v>11</v>
      </c>
      <c r="P8" s="99">
        <v>12</v>
      </c>
      <c r="Q8" s="99">
        <v>13</v>
      </c>
      <c r="R8" s="99">
        <v>14</v>
      </c>
      <c r="S8" s="99">
        <v>15</v>
      </c>
      <c r="T8" s="99">
        <v>16</v>
      </c>
      <c r="U8" s="99">
        <v>17</v>
      </c>
      <c r="V8" s="99">
        <v>18</v>
      </c>
      <c r="W8" s="99">
        <v>19</v>
      </c>
      <c r="X8" s="99">
        <v>20</v>
      </c>
      <c r="Y8" s="638" t="s">
        <v>190</v>
      </c>
    </row>
    <row r="9" spans="1:26" ht="15.75" thickBot="1" x14ac:dyDescent="0.3">
      <c r="A9" s="636"/>
      <c r="B9" s="637"/>
      <c r="C9" s="103">
        <v>2023</v>
      </c>
      <c r="D9" s="527"/>
      <c r="E9" s="103">
        <v>2024</v>
      </c>
      <c r="F9" s="103">
        <v>2025</v>
      </c>
      <c r="G9" s="103">
        <v>2026</v>
      </c>
      <c r="H9" s="103">
        <v>2027</v>
      </c>
      <c r="I9" s="103">
        <v>2028</v>
      </c>
      <c r="J9" s="103">
        <v>2029</v>
      </c>
      <c r="K9" s="103">
        <v>2030</v>
      </c>
      <c r="L9" s="103">
        <v>2031</v>
      </c>
      <c r="M9" s="103">
        <v>2032</v>
      </c>
      <c r="N9" s="103">
        <v>2033</v>
      </c>
      <c r="O9" s="103">
        <v>2034</v>
      </c>
      <c r="P9" s="103">
        <v>2035</v>
      </c>
      <c r="Q9" s="103">
        <v>2036</v>
      </c>
      <c r="R9" s="103">
        <v>2037</v>
      </c>
      <c r="S9" s="103">
        <v>2038</v>
      </c>
      <c r="T9" s="103">
        <v>2039</v>
      </c>
      <c r="U9" s="103">
        <v>2040</v>
      </c>
      <c r="V9" s="103">
        <v>2041</v>
      </c>
      <c r="W9" s="103">
        <v>2042</v>
      </c>
      <c r="X9" s="103">
        <v>2043</v>
      </c>
      <c r="Y9" s="639"/>
    </row>
    <row r="10" spans="1:26" ht="15" customHeight="1" x14ac:dyDescent="0.25">
      <c r="A10" s="642" t="s">
        <v>409</v>
      </c>
      <c r="B10" s="538" t="s">
        <v>188</v>
      </c>
      <c r="C10" s="652">
        <f>IF(Summary!$A$37="SCA Standard HVAC System (Air-Source Heat Pump RTUs)",'Capital Cost'!C13,"N/A")</f>
        <v>7381000</v>
      </c>
      <c r="D10" s="102" t="s">
        <v>200</v>
      </c>
      <c r="E10" s="356">
        <f>IF($C$10="N/A","N/A",('Energy Cost'!M8))</f>
        <v>122841.01350166295</v>
      </c>
      <c r="F10" s="357">
        <f>IF($C$10="N/A", "N/A", E10*(1+$B$3))</f>
        <v>127754.65404172947</v>
      </c>
      <c r="G10" s="357">
        <f>IF($C$10="N/A", "N/A", F10*(1+$B$3))</f>
        <v>132864.84020339866</v>
      </c>
      <c r="H10" s="357">
        <f>IF($C$10="N/A", "N/A", G10*(1+$B$3))</f>
        <v>138179.4338115346</v>
      </c>
      <c r="I10" s="357">
        <f t="shared" ref="I10:X10" si="0">IF($C$10="N/A", "N/A", H10*(1+$B$3))</f>
        <v>143706.61116399599</v>
      </c>
      <c r="J10" s="357">
        <f t="shared" si="0"/>
        <v>149454.87561055584</v>
      </c>
      <c r="K10" s="357">
        <f t="shared" si="0"/>
        <v>155433.0706349781</v>
      </c>
      <c r="L10" s="357">
        <f t="shared" si="0"/>
        <v>161650.39346037724</v>
      </c>
      <c r="M10" s="357">
        <f t="shared" si="0"/>
        <v>168116.40919879233</v>
      </c>
      <c r="N10" s="357">
        <f t="shared" si="0"/>
        <v>174841.06556674404</v>
      </c>
      <c r="O10" s="357">
        <f t="shared" si="0"/>
        <v>181834.70818941382</v>
      </c>
      <c r="P10" s="357">
        <f t="shared" si="0"/>
        <v>189108.09651699039</v>
      </c>
      <c r="Q10" s="357">
        <f t="shared" si="0"/>
        <v>196672.42037767003</v>
      </c>
      <c r="R10" s="357">
        <f t="shared" si="0"/>
        <v>204539.31719277683</v>
      </c>
      <c r="S10" s="357">
        <f t="shared" si="0"/>
        <v>212720.8898804879</v>
      </c>
      <c r="T10" s="357">
        <f t="shared" si="0"/>
        <v>221229.72547570741</v>
      </c>
      <c r="U10" s="357">
        <f t="shared" si="0"/>
        <v>230078.91449473571</v>
      </c>
      <c r="V10" s="357">
        <f t="shared" si="0"/>
        <v>239282.07107452516</v>
      </c>
      <c r="W10" s="357">
        <f t="shared" si="0"/>
        <v>248853.35391750617</v>
      </c>
      <c r="X10" s="357">
        <f t="shared" si="0"/>
        <v>258807.48807420643</v>
      </c>
      <c r="Y10" s="367">
        <f>IF(C10="N/A", "N/A", SUM(E10:X10))</f>
        <v>3657969.3523877892</v>
      </c>
    </row>
    <row r="11" spans="1:26" ht="15" customHeight="1" x14ac:dyDescent="0.25">
      <c r="A11" s="643"/>
      <c r="B11" s="538"/>
      <c r="C11" s="652"/>
      <c r="D11" s="58" t="s">
        <v>201</v>
      </c>
      <c r="E11" s="358">
        <f>IF($C$10="N/A","N/A",'Annual Maintenance Cost'!C9)</f>
        <v>5000</v>
      </c>
      <c r="F11" s="359">
        <f>IF($C$10="N/A","N/A",E11*(1+$B$4))</f>
        <v>5200</v>
      </c>
      <c r="G11" s="359">
        <f t="shared" ref="G11:X11" si="1">IF($C$10="N/A","N/A",F11*(1+$B$4))</f>
        <v>5408</v>
      </c>
      <c r="H11" s="359">
        <f t="shared" si="1"/>
        <v>5624.3200000000006</v>
      </c>
      <c r="I11" s="359">
        <f t="shared" si="1"/>
        <v>5849.2928000000011</v>
      </c>
      <c r="J11" s="359">
        <f t="shared" si="1"/>
        <v>6083.2645120000016</v>
      </c>
      <c r="K11" s="359">
        <f t="shared" si="1"/>
        <v>6326.5950924800018</v>
      </c>
      <c r="L11" s="359">
        <f t="shared" si="1"/>
        <v>6579.6588961792022</v>
      </c>
      <c r="M11" s="359">
        <f t="shared" si="1"/>
        <v>6842.8452520263709</v>
      </c>
      <c r="N11" s="359">
        <f t="shared" si="1"/>
        <v>7116.5590621074261</v>
      </c>
      <c r="O11" s="359">
        <f t="shared" si="1"/>
        <v>7401.221424591723</v>
      </c>
      <c r="P11" s="359">
        <f t="shared" si="1"/>
        <v>7697.2702815753919</v>
      </c>
      <c r="Q11" s="359">
        <f t="shared" si="1"/>
        <v>8005.161092838408</v>
      </c>
      <c r="R11" s="359">
        <f t="shared" si="1"/>
        <v>8325.3675365519448</v>
      </c>
      <c r="S11" s="359">
        <f t="shared" si="1"/>
        <v>8658.3822380140227</v>
      </c>
      <c r="T11" s="359">
        <f t="shared" si="1"/>
        <v>9004.7175275345835</v>
      </c>
      <c r="U11" s="359">
        <f t="shared" si="1"/>
        <v>9364.9062286359676</v>
      </c>
      <c r="V11" s="359">
        <f>IF($C$10="N/A","N/A",U11*(1+$B$4))</f>
        <v>9739.5024777814069</v>
      </c>
      <c r="W11" s="359">
        <f t="shared" si="1"/>
        <v>10129.082576892664</v>
      </c>
      <c r="X11" s="359">
        <f t="shared" si="1"/>
        <v>10534.245879968372</v>
      </c>
      <c r="Y11" s="413">
        <f>IF(C10="N/A","N/A",SUM(E11:X11))</f>
        <v>148890.39287917747</v>
      </c>
    </row>
    <row r="12" spans="1:26" ht="15" customHeight="1" x14ac:dyDescent="0.25">
      <c r="A12" s="643"/>
      <c r="B12" s="538"/>
      <c r="C12" s="652"/>
      <c r="D12" s="58" t="s">
        <v>202</v>
      </c>
      <c r="E12" s="359">
        <f>IF(C10="N/A","N/A",'Carbon Cost'!E17)</f>
        <v>18263.104352851075</v>
      </c>
      <c r="F12" s="359">
        <f>IF($C$10="N/A","N/A",E12*(1+$B$5))</f>
        <v>18993.62852696512</v>
      </c>
      <c r="G12" s="359">
        <f t="shared" ref="G12:X12" si="2">IF($C$10="N/A","N/A",F12*(1+$B$5))</f>
        <v>19753.373668043725</v>
      </c>
      <c r="H12" s="359">
        <f t="shared" si="2"/>
        <v>20543.508614765477</v>
      </c>
      <c r="I12" s="359">
        <f t="shared" si="2"/>
        <v>21365.248959356097</v>
      </c>
      <c r="J12" s="359">
        <f t="shared" si="2"/>
        <v>22219.85891773034</v>
      </c>
      <c r="K12" s="359">
        <f t="shared" si="2"/>
        <v>23108.653274439555</v>
      </c>
      <c r="L12" s="359">
        <f t="shared" si="2"/>
        <v>24032.99940541714</v>
      </c>
      <c r="M12" s="359">
        <f t="shared" si="2"/>
        <v>24994.319381633828</v>
      </c>
      <c r="N12" s="359">
        <f t="shared" si="2"/>
        <v>25994.092156899183</v>
      </c>
      <c r="O12" s="359">
        <f t="shared" si="2"/>
        <v>27033.855843175152</v>
      </c>
      <c r="P12" s="359">
        <f t="shared" si="2"/>
        <v>28115.21007690216</v>
      </c>
      <c r="Q12" s="359">
        <f t="shared" si="2"/>
        <v>29239.818479978247</v>
      </c>
      <c r="R12" s="359">
        <f t="shared" si="2"/>
        <v>30409.411219177378</v>
      </c>
      <c r="S12" s="359">
        <f t="shared" si="2"/>
        <v>31625.787667944474</v>
      </c>
      <c r="T12" s="359">
        <f t="shared" si="2"/>
        <v>32890.819174662254</v>
      </c>
      <c r="U12" s="359">
        <f t="shared" si="2"/>
        <v>34206.451941648746</v>
      </c>
      <c r="V12" s="359">
        <f t="shared" si="2"/>
        <v>35574.710019314698</v>
      </c>
      <c r="W12" s="359">
        <f t="shared" si="2"/>
        <v>36997.69842008729</v>
      </c>
      <c r="X12" s="359">
        <f t="shared" si="2"/>
        <v>38477.606356890785</v>
      </c>
      <c r="Y12" s="367">
        <f>IF(C10="N/A","N/A",SUM(E12:X12))</f>
        <v>543840.15645788261</v>
      </c>
    </row>
    <row r="13" spans="1:26" ht="15" customHeight="1" x14ac:dyDescent="0.25">
      <c r="A13" s="643"/>
      <c r="B13" s="539"/>
      <c r="C13" s="653"/>
      <c r="D13" s="58" t="s">
        <v>203</v>
      </c>
      <c r="E13" s="359">
        <f>IF($C$10="N/A","N/A",SUM(E10:E12))</f>
        <v>146104.11785451401</v>
      </c>
      <c r="F13" s="359">
        <f t="shared" ref="F13:I13" si="3">IF($C$10="N/A","N/A",SUM(F10:F12))</f>
        <v>151948.28256869459</v>
      </c>
      <c r="G13" s="359">
        <f t="shared" si="3"/>
        <v>158026.21387144239</v>
      </c>
      <c r="H13" s="359">
        <f t="shared" si="3"/>
        <v>164347.26242630009</v>
      </c>
      <c r="I13" s="359">
        <f t="shared" si="3"/>
        <v>170921.15292335209</v>
      </c>
      <c r="J13" s="359">
        <f t="shared" ref="J13" si="4">IF($C$10="N/A","N/A",SUM(J10:J12))</f>
        <v>177757.99904028617</v>
      </c>
      <c r="K13" s="359">
        <f t="shared" ref="K13" si="5">IF($C$10="N/A","N/A",SUM(K10:K12))</f>
        <v>184868.31900189767</v>
      </c>
      <c r="L13" s="359">
        <f t="shared" ref="L13:M13" si="6">IF($C$10="N/A","N/A",SUM(L10:L12))</f>
        <v>192263.05176197359</v>
      </c>
      <c r="M13" s="359">
        <f t="shared" si="6"/>
        <v>199953.57383245253</v>
      </c>
      <c r="N13" s="359">
        <f t="shared" ref="N13" si="7">IF($C$10="N/A","N/A",SUM(N10:N12))</f>
        <v>207951.71678575067</v>
      </c>
      <c r="O13" s="359">
        <f t="shared" ref="O13" si="8">IF($C$10="N/A","N/A",SUM(O10:O12))</f>
        <v>216269.7854571807</v>
      </c>
      <c r="P13" s="359">
        <f t="shared" ref="P13:Q13" si="9">IF($C$10="N/A","N/A",SUM(P10:P12))</f>
        <v>224920.57687546793</v>
      </c>
      <c r="Q13" s="359">
        <f t="shared" si="9"/>
        <v>233917.3999504867</v>
      </c>
      <c r="R13" s="359">
        <f t="shared" ref="R13" si="10">IF($C$10="N/A","N/A",SUM(R10:R12))</f>
        <v>243274.09594850618</v>
      </c>
      <c r="S13" s="359">
        <f t="shared" ref="S13" si="11">IF($C$10="N/A","N/A",SUM(S10:S12))</f>
        <v>253005.05978644639</v>
      </c>
      <c r="T13" s="359">
        <f t="shared" ref="T13:U13" si="12">IF($C$10="N/A","N/A",SUM(T10:T12))</f>
        <v>263125.26217790425</v>
      </c>
      <c r="U13" s="359">
        <f t="shared" si="12"/>
        <v>273650.27266502043</v>
      </c>
      <c r="V13" s="359">
        <f t="shared" ref="V13" si="13">IF($C$10="N/A","N/A",SUM(V10:V12))</f>
        <v>284596.28357162129</v>
      </c>
      <c r="W13" s="359">
        <f t="shared" ref="W13" si="14">IF($C$10="N/A","N/A",SUM(W10:W12))</f>
        <v>295980.13491448615</v>
      </c>
      <c r="X13" s="359">
        <f t="shared" ref="X13" si="15">IF($C$10="N/A","N/A",SUM(X10:X12))</f>
        <v>307819.34031106555</v>
      </c>
      <c r="Y13" s="367">
        <f>IF(C10="N/A","N/A",SUM(E13:X13))</f>
        <v>4350699.9017248489</v>
      </c>
    </row>
    <row r="14" spans="1:26" ht="15.75" thickBot="1" x14ac:dyDescent="0.3">
      <c r="A14" s="644"/>
      <c r="B14" s="101" t="s">
        <v>189</v>
      </c>
      <c r="C14" s="229">
        <f>C10</f>
        <v>7381000</v>
      </c>
      <c r="D14" s="101" t="s">
        <v>189</v>
      </c>
      <c r="E14" s="229">
        <f>IF($C$10="N/A","N/A",-PV($B$2,E$8,0,E13,0))</f>
        <v>139146.77890906096</v>
      </c>
      <c r="F14" s="229">
        <f t="shared" ref="F14:O14" si="16">IF($C$10="N/A","N/A",-PV($B$2,F$8,0,F13,0))</f>
        <v>137821.57149087943</v>
      </c>
      <c r="G14" s="229">
        <f t="shared" si="16"/>
        <v>136508.98509572822</v>
      </c>
      <c r="H14" s="229">
        <f t="shared" si="16"/>
        <v>135208.89952338795</v>
      </c>
      <c r="I14" s="229">
        <f t="shared" si="16"/>
        <v>133921.19571840329</v>
      </c>
      <c r="J14" s="229">
        <f t="shared" si="16"/>
        <v>132645.75575918044</v>
      </c>
      <c r="K14" s="229">
        <f t="shared" si="16"/>
        <v>131382.46284718823</v>
      </c>
      <c r="L14" s="229">
        <f t="shared" si="16"/>
        <v>130131.20129626266</v>
      </c>
      <c r="M14" s="229">
        <f t="shared" si="16"/>
        <v>128891.85652201253</v>
      </c>
      <c r="N14" s="229">
        <f t="shared" si="16"/>
        <v>127664.31503132673</v>
      </c>
      <c r="O14" s="229">
        <f t="shared" si="16"/>
        <v>126448.46441198075</v>
      </c>
      <c r="P14" s="229">
        <f>IF($C$10="N/A","N/A",-PV($B$2,P$8,0,P13,0))</f>
        <v>125244.19332234286</v>
      </c>
      <c r="Q14" s="229">
        <f t="shared" ref="Q14" si="17">IF($C$10="N/A","N/A",-PV($B$2,Q$8,0,Q13,0))</f>
        <v>124051.39148117769</v>
      </c>
      <c r="R14" s="229">
        <f t="shared" ref="R14" si="18">IF($C$10="N/A","N/A",-PV($B$2,R$8,0,R13,0))</f>
        <v>122869.94965754746</v>
      </c>
      <c r="S14" s="229">
        <f t="shared" ref="S14" si="19">IF($C$10="N/A","N/A",-PV($B$2,S$8,0,S13,0))</f>
        <v>121699.75966080886</v>
      </c>
      <c r="T14" s="229">
        <f t="shared" ref="T14" si="20">IF($C$10="N/A","N/A",-PV($B$2,T$8,0,T13,0))</f>
        <v>120540.71433070593</v>
      </c>
      <c r="U14" s="229">
        <f t="shared" ref="U14" si="21">IF($C$10="N/A","N/A",-PV($B$2,U$8,0,U13,0))</f>
        <v>119392.70752755634</v>
      </c>
      <c r="V14" s="229">
        <f t="shared" ref="V14" si="22">IF($C$10="N/A","N/A",-PV($B$2,V$8,0,V13,0))</f>
        <v>118255.63412253201</v>
      </c>
      <c r="W14" s="229">
        <f t="shared" ref="W14" si="23">IF($C$10="N/A","N/A",-PV($B$2,W$8,0,W13,0))</f>
        <v>117129.3899880317</v>
      </c>
      <c r="X14" s="229">
        <f t="shared" ref="X14" si="24">IF($C$10="N/A","N/A",-PV($B$2,X$8,0,X13,0))</f>
        <v>116013.87198814568</v>
      </c>
      <c r="Y14" s="414">
        <f>IF(C10="N/A","N/A",SUM(C14:X14))</f>
        <v>9925969.0986842606</v>
      </c>
      <c r="Z14" t="s">
        <v>198</v>
      </c>
    </row>
    <row r="15" spans="1:26" x14ac:dyDescent="0.25">
      <c r="A15" s="651" t="s">
        <v>191</v>
      </c>
      <c r="B15" s="648" t="s">
        <v>188</v>
      </c>
      <c r="C15" s="654">
        <f>IF(Summary!E21="Yes",'Capital Cost'!D16,"N/A")</f>
        <v>11953052.222222222</v>
      </c>
      <c r="D15" s="62" t="s">
        <v>200</v>
      </c>
      <c r="E15" s="360">
        <f>IF(C15="N/A","N/A",('Energy Cost'!M9))</f>
        <v>110300.72691428702</v>
      </c>
      <c r="F15" s="361">
        <f t="shared" ref="F15:X15" si="25">IF($C$15="N/A","N/A",E15*(1+$B$3))</f>
        <v>114712.75599085851</v>
      </c>
      <c r="G15" s="361">
        <f t="shared" si="25"/>
        <v>119301.26623049285</v>
      </c>
      <c r="H15" s="361">
        <f t="shared" si="25"/>
        <v>124073.31687971257</v>
      </c>
      <c r="I15" s="361">
        <f t="shared" si="25"/>
        <v>129036.24955490108</v>
      </c>
      <c r="J15" s="361">
        <f t="shared" si="25"/>
        <v>134197.69953709713</v>
      </c>
      <c r="K15" s="361">
        <f t="shared" si="25"/>
        <v>139565.607518581</v>
      </c>
      <c r="L15" s="361">
        <f t="shared" si="25"/>
        <v>145148.23181932425</v>
      </c>
      <c r="M15" s="361">
        <f t="shared" si="25"/>
        <v>150954.16109209723</v>
      </c>
      <c r="N15" s="361">
        <f t="shared" si="25"/>
        <v>156992.32753578114</v>
      </c>
      <c r="O15" s="361">
        <f t="shared" si="25"/>
        <v>163272.02063721238</v>
      </c>
      <c r="P15" s="361">
        <f t="shared" si="25"/>
        <v>169802.90146270089</v>
      </c>
      <c r="Q15" s="361">
        <f t="shared" si="25"/>
        <v>176595.01752120894</v>
      </c>
      <c r="R15" s="361">
        <f t="shared" si="25"/>
        <v>183658.81822205731</v>
      </c>
      <c r="S15" s="361">
        <f t="shared" si="25"/>
        <v>191005.17095093962</v>
      </c>
      <c r="T15" s="361">
        <f t="shared" si="25"/>
        <v>198645.3777889772</v>
      </c>
      <c r="U15" s="361">
        <f t="shared" si="25"/>
        <v>206591.19290053629</v>
      </c>
      <c r="V15" s="361">
        <f t="shared" si="25"/>
        <v>214854.84061655775</v>
      </c>
      <c r="W15" s="361">
        <f t="shared" si="25"/>
        <v>223449.03424122007</v>
      </c>
      <c r="X15" s="361">
        <f t="shared" si="25"/>
        <v>232386.99561086888</v>
      </c>
      <c r="Y15" s="412">
        <f>IF(C15="N/A","N/A",SUM(E15:X15))</f>
        <v>3284543.7130254116</v>
      </c>
    </row>
    <row r="16" spans="1:26" x14ac:dyDescent="0.25">
      <c r="A16" s="649"/>
      <c r="B16" s="538"/>
      <c r="C16" s="652"/>
      <c r="D16" s="58" t="s">
        <v>201</v>
      </c>
      <c r="E16" s="358">
        <f>IF(C15="N/A","N/A",'Annual Maintenance Cost'!D9)</f>
        <v>1830</v>
      </c>
      <c r="F16" s="359">
        <f t="shared" ref="F16:X16" si="26">IF($C$15="N/A","N/A",E16*(1+$B$4))</f>
        <v>1903.2</v>
      </c>
      <c r="G16" s="359">
        <f t="shared" si="26"/>
        <v>1979.3280000000002</v>
      </c>
      <c r="H16" s="359">
        <f t="shared" si="26"/>
        <v>2058.5011200000004</v>
      </c>
      <c r="I16" s="359">
        <f t="shared" si="26"/>
        <v>2140.8411648000006</v>
      </c>
      <c r="J16" s="359">
        <f t="shared" si="26"/>
        <v>2226.4748113920004</v>
      </c>
      <c r="K16" s="359">
        <f t="shared" si="26"/>
        <v>2315.5338038476807</v>
      </c>
      <c r="L16" s="359">
        <f t="shared" si="26"/>
        <v>2408.1551560015882</v>
      </c>
      <c r="M16" s="359">
        <f t="shared" si="26"/>
        <v>2504.4813622416518</v>
      </c>
      <c r="N16" s="359">
        <f t="shared" si="26"/>
        <v>2604.660616731318</v>
      </c>
      <c r="O16" s="359">
        <f t="shared" si="26"/>
        <v>2708.847041400571</v>
      </c>
      <c r="P16" s="359">
        <f t="shared" si="26"/>
        <v>2817.2009230565941</v>
      </c>
      <c r="Q16" s="359">
        <f t="shared" si="26"/>
        <v>2929.8889599788581</v>
      </c>
      <c r="R16" s="359">
        <f t="shared" si="26"/>
        <v>3047.0845183780125</v>
      </c>
      <c r="S16" s="359">
        <f t="shared" si="26"/>
        <v>3168.9678991131332</v>
      </c>
      <c r="T16" s="359">
        <f t="shared" si="26"/>
        <v>3295.7266150776586</v>
      </c>
      <c r="U16" s="359">
        <f t="shared" si="26"/>
        <v>3427.555679680765</v>
      </c>
      <c r="V16" s="359">
        <f t="shared" si="26"/>
        <v>3564.6579068679957</v>
      </c>
      <c r="W16" s="359">
        <f t="shared" si="26"/>
        <v>3707.2442231427158</v>
      </c>
      <c r="X16" s="359">
        <f t="shared" si="26"/>
        <v>3855.5339920684246</v>
      </c>
      <c r="Y16" s="413">
        <f>IF(C15="N/A","N/A",SUM(E16:X16))</f>
        <v>54493.883793778972</v>
      </c>
    </row>
    <row r="17" spans="1:26" x14ac:dyDescent="0.25">
      <c r="A17" s="649"/>
      <c r="B17" s="538"/>
      <c r="C17" s="652"/>
      <c r="D17" s="58" t="s">
        <v>202</v>
      </c>
      <c r="E17" s="359">
        <f>IF(C15="N/A","N/A",'Carbon Cost'!G12)</f>
        <v>15024.707513983791</v>
      </c>
      <c r="F17" s="359">
        <f t="shared" ref="F17:X17" si="27">IF($C$15="N/A","N/A",E17*(1+$B$5))</f>
        <v>15625.695814543144</v>
      </c>
      <c r="G17" s="359">
        <f t="shared" si="27"/>
        <v>16250.723647124871</v>
      </c>
      <c r="H17" s="359">
        <f t="shared" si="27"/>
        <v>16900.752593009867</v>
      </c>
      <c r="I17" s="359">
        <f t="shared" si="27"/>
        <v>17576.782696730261</v>
      </c>
      <c r="J17" s="359">
        <f t="shared" si="27"/>
        <v>18279.85400459947</v>
      </c>
      <c r="K17" s="359">
        <f t="shared" si="27"/>
        <v>19011.048164783449</v>
      </c>
      <c r="L17" s="359">
        <f t="shared" si="27"/>
        <v>19771.490091374788</v>
      </c>
      <c r="M17" s="359">
        <f t="shared" si="27"/>
        <v>20562.349695029781</v>
      </c>
      <c r="N17" s="359">
        <f t="shared" si="27"/>
        <v>21384.843682830975</v>
      </c>
      <c r="O17" s="359">
        <f t="shared" si="27"/>
        <v>22240.237430144214</v>
      </c>
      <c r="P17" s="359">
        <f t="shared" si="27"/>
        <v>23129.846927349983</v>
      </c>
      <c r="Q17" s="359">
        <f t="shared" si="27"/>
        <v>24055.040804443983</v>
      </c>
      <c r="R17" s="359">
        <f t="shared" si="27"/>
        <v>25017.242436621742</v>
      </c>
      <c r="S17" s="359">
        <f t="shared" si="27"/>
        <v>26017.932134086612</v>
      </c>
      <c r="T17" s="359">
        <f t="shared" si="27"/>
        <v>27058.649419450077</v>
      </c>
      <c r="U17" s="359">
        <f t="shared" si="27"/>
        <v>28140.995396228082</v>
      </c>
      <c r="V17" s="359">
        <f t="shared" si="27"/>
        <v>29266.635212077206</v>
      </c>
      <c r="W17" s="359">
        <f t="shared" si="27"/>
        <v>30437.300620560294</v>
      </c>
      <c r="X17" s="359">
        <f t="shared" si="27"/>
        <v>31654.792645382706</v>
      </c>
      <c r="Y17" s="367">
        <f>IF(C15="N/A","N/A",SUM(E17:X17))</f>
        <v>447406.92093035532</v>
      </c>
    </row>
    <row r="18" spans="1:26" x14ac:dyDescent="0.25">
      <c r="A18" s="649"/>
      <c r="B18" s="539"/>
      <c r="C18" s="653"/>
      <c r="D18" s="58" t="s">
        <v>203</v>
      </c>
      <c r="E18" s="359">
        <f>IF($C$15="N/A","N/A",SUM(E15:E17))</f>
        <v>127155.43442827082</v>
      </c>
      <c r="F18" s="359">
        <f t="shared" ref="F18:X18" si="28">IF($C$15="N/A","N/A",SUM(F15:F17))</f>
        <v>132241.65180540166</v>
      </c>
      <c r="G18" s="359">
        <f t="shared" si="28"/>
        <v>137531.31787761772</v>
      </c>
      <c r="H18" s="359">
        <f t="shared" si="28"/>
        <v>143032.57059272245</v>
      </c>
      <c r="I18" s="359">
        <f t="shared" si="28"/>
        <v>148753.87341643134</v>
      </c>
      <c r="J18" s="359">
        <f t="shared" si="28"/>
        <v>154704.02835308859</v>
      </c>
      <c r="K18" s="359">
        <f t="shared" si="28"/>
        <v>160892.18948721213</v>
      </c>
      <c r="L18" s="359">
        <f t="shared" si="28"/>
        <v>167327.87706670063</v>
      </c>
      <c r="M18" s="359">
        <f t="shared" si="28"/>
        <v>174020.99214936866</v>
      </c>
      <c r="N18" s="359">
        <f t="shared" si="28"/>
        <v>180981.83183534344</v>
      </c>
      <c r="O18" s="359">
        <f t="shared" si="28"/>
        <v>188221.10510875715</v>
      </c>
      <c r="P18" s="359">
        <f t="shared" si="28"/>
        <v>195749.94931310747</v>
      </c>
      <c r="Q18" s="359">
        <f t="shared" si="28"/>
        <v>203579.94728563179</v>
      </c>
      <c r="R18" s="359">
        <f t="shared" si="28"/>
        <v>211723.14517705707</v>
      </c>
      <c r="S18" s="359">
        <f t="shared" si="28"/>
        <v>220192.07098413937</v>
      </c>
      <c r="T18" s="359">
        <f t="shared" si="28"/>
        <v>228999.75382350496</v>
      </c>
      <c r="U18" s="359">
        <f t="shared" si="28"/>
        <v>238159.74397644514</v>
      </c>
      <c r="V18" s="359">
        <f t="shared" si="28"/>
        <v>247686.13373550295</v>
      </c>
      <c r="W18" s="359">
        <f t="shared" si="28"/>
        <v>257593.57908492308</v>
      </c>
      <c r="X18" s="359">
        <f t="shared" si="28"/>
        <v>267897.32224832004</v>
      </c>
      <c r="Y18" s="413">
        <f>IF(C15="N/A","N/A",SUM(C18:X18))</f>
        <v>3786444.5177495466</v>
      </c>
    </row>
    <row r="19" spans="1:26" ht="15.75" thickBot="1" x14ac:dyDescent="0.3">
      <c r="A19" s="650"/>
      <c r="B19" s="101" t="s">
        <v>189</v>
      </c>
      <c r="C19" s="229">
        <f>C15</f>
        <v>11953052.222222222</v>
      </c>
      <c r="D19" s="101" t="s">
        <v>189</v>
      </c>
      <c r="E19" s="229">
        <f t="shared" ref="E19:X19" si="29">IF($C$15="N/A","N/A",-PV($B$2,E$8,0,E18,0))</f>
        <v>121100.4137412103</v>
      </c>
      <c r="F19" s="229">
        <f t="shared" si="29"/>
        <v>119947.0764674845</v>
      </c>
      <c r="G19" s="229">
        <f t="shared" si="29"/>
        <v>118804.72335827035</v>
      </c>
      <c r="H19" s="229">
        <f t="shared" si="29"/>
        <v>117673.24980247732</v>
      </c>
      <c r="I19" s="229">
        <f t="shared" si="29"/>
        <v>116552.55218531085</v>
      </c>
      <c r="J19" s="229">
        <f t="shared" si="29"/>
        <v>115442.52787878409</v>
      </c>
      <c r="K19" s="229">
        <f t="shared" si="29"/>
        <v>114343.07523231946</v>
      </c>
      <c r="L19" s="229">
        <f t="shared" si="29"/>
        <v>113254.09356344026</v>
      </c>
      <c r="M19" s="229">
        <f t="shared" si="29"/>
        <v>112175.48314855034</v>
      </c>
      <c r="N19" s="229">
        <f t="shared" si="29"/>
        <v>111107.14521380227</v>
      </c>
      <c r="O19" s="229">
        <f t="shared" si="29"/>
        <v>110048.98192605174</v>
      </c>
      <c r="P19" s="229">
        <f t="shared" si="29"/>
        <v>109000.8963838989</v>
      </c>
      <c r="Q19" s="229">
        <f t="shared" si="29"/>
        <v>107962.79260881414</v>
      </c>
      <c r="R19" s="229">
        <f t="shared" si="29"/>
        <v>106934.57553634928</v>
      </c>
      <c r="S19" s="229">
        <f t="shared" si="29"/>
        <v>105916.15100743163</v>
      </c>
      <c r="T19" s="229">
        <f t="shared" si="29"/>
        <v>104907.42575974183</v>
      </c>
      <c r="U19" s="229">
        <f t="shared" si="29"/>
        <v>103908.30741917284</v>
      </c>
      <c r="V19" s="229">
        <f t="shared" si="29"/>
        <v>102918.7044913712</v>
      </c>
      <c r="W19" s="229">
        <f t="shared" si="29"/>
        <v>101938.52635335815</v>
      </c>
      <c r="X19" s="229">
        <f t="shared" si="29"/>
        <v>100967.68324523093</v>
      </c>
      <c r="Y19" s="414">
        <f>IF($C$15="N/A","N/A",SUM(C19:X19))</f>
        <v>14167956.60754529</v>
      </c>
      <c r="Z19" t="s">
        <v>198</v>
      </c>
    </row>
    <row r="20" spans="1:26" ht="15" customHeight="1" x14ac:dyDescent="0.25">
      <c r="A20" s="651" t="s">
        <v>196</v>
      </c>
      <c r="B20" s="648" t="s">
        <v>188</v>
      </c>
      <c r="C20" s="654">
        <f>IF(Summary!D21="Yes",'Capital Cost'!E16,"N/A")</f>
        <v>9656741.1111111119</v>
      </c>
      <c r="D20" s="62" t="s">
        <v>200</v>
      </c>
      <c r="E20" s="361">
        <f>IF(C20="N/A","N/A",('Energy Cost'!M10))</f>
        <v>92473.912717863815</v>
      </c>
      <c r="F20" s="361">
        <f t="shared" ref="F20:X20" si="30">IF($C$20="N/A","N/A",E20*(1+$B$3))</f>
        <v>96172.869226578376</v>
      </c>
      <c r="G20" s="361">
        <f t="shared" si="30"/>
        <v>100019.78399564151</v>
      </c>
      <c r="H20" s="361">
        <f t="shared" si="30"/>
        <v>104020.57535546718</v>
      </c>
      <c r="I20" s="361">
        <f t="shared" si="30"/>
        <v>108181.39836968588</v>
      </c>
      <c r="J20" s="361">
        <f t="shared" si="30"/>
        <v>112508.65430447331</v>
      </c>
      <c r="K20" s="361">
        <f t="shared" si="30"/>
        <v>117009.00047665225</v>
      </c>
      <c r="L20" s="361">
        <f t="shared" si="30"/>
        <v>121689.36049571834</v>
      </c>
      <c r="M20" s="361">
        <f t="shared" si="30"/>
        <v>126556.93491554708</v>
      </c>
      <c r="N20" s="361">
        <f t="shared" si="30"/>
        <v>131619.21231216897</v>
      </c>
      <c r="O20" s="361">
        <f t="shared" si="30"/>
        <v>136883.98080465573</v>
      </c>
      <c r="P20" s="361">
        <f t="shared" si="30"/>
        <v>142359.34003684195</v>
      </c>
      <c r="Q20" s="361">
        <f t="shared" si="30"/>
        <v>148053.71363831565</v>
      </c>
      <c r="R20" s="361">
        <f t="shared" si="30"/>
        <v>153975.86218384828</v>
      </c>
      <c r="S20" s="361">
        <f t="shared" si="30"/>
        <v>160134.89667120221</v>
      </c>
      <c r="T20" s="361">
        <f t="shared" si="30"/>
        <v>166540.2925380503</v>
      </c>
      <c r="U20" s="361">
        <f t="shared" si="30"/>
        <v>173201.90423957232</v>
      </c>
      <c r="V20" s="361">
        <f t="shared" si="30"/>
        <v>180129.98040915522</v>
      </c>
      <c r="W20" s="361">
        <f t="shared" si="30"/>
        <v>187335.17962552144</v>
      </c>
      <c r="X20" s="361">
        <f t="shared" si="30"/>
        <v>194828.5868105423</v>
      </c>
      <c r="Y20" s="412">
        <f>IF(C20="N/A","N/A",SUM(E20:X20))</f>
        <v>2753695.439127502</v>
      </c>
    </row>
    <row r="21" spans="1:26" x14ac:dyDescent="0.25">
      <c r="A21" s="649"/>
      <c r="B21" s="538"/>
      <c r="C21" s="652"/>
      <c r="D21" s="58" t="s">
        <v>201</v>
      </c>
      <c r="E21" s="359">
        <f>IF(C20="N/A","N/A",'Annual Maintenance Cost'!E9)</f>
        <v>48800</v>
      </c>
      <c r="F21" s="359">
        <f t="shared" ref="F21:X21" si="31">IF($C$20="N/A","N/A",E21*(1+$B$4))</f>
        <v>50752</v>
      </c>
      <c r="G21" s="359">
        <f t="shared" si="31"/>
        <v>52782.080000000002</v>
      </c>
      <c r="H21" s="359">
        <f t="shared" si="31"/>
        <v>54893.363200000007</v>
      </c>
      <c r="I21" s="359">
        <f t="shared" si="31"/>
        <v>57089.097728000008</v>
      </c>
      <c r="J21" s="359">
        <f t="shared" si="31"/>
        <v>59372.661637120007</v>
      </c>
      <c r="K21" s="359">
        <f t="shared" si="31"/>
        <v>61747.568102604811</v>
      </c>
      <c r="L21" s="359">
        <f t="shared" si="31"/>
        <v>64217.470826709003</v>
      </c>
      <c r="M21" s="359">
        <f t="shared" si="31"/>
        <v>66786.16965977737</v>
      </c>
      <c r="N21" s="359">
        <f t="shared" si="31"/>
        <v>69457.616446168468</v>
      </c>
      <c r="O21" s="359">
        <f t="shared" si="31"/>
        <v>72235.921104015215</v>
      </c>
      <c r="P21" s="359">
        <f t="shared" si="31"/>
        <v>75125.357948175821</v>
      </c>
      <c r="Q21" s="359">
        <f t="shared" si="31"/>
        <v>78130.372266102859</v>
      </c>
      <c r="R21" s="359">
        <f t="shared" si="31"/>
        <v>81255.587156746973</v>
      </c>
      <c r="S21" s="359">
        <f t="shared" si="31"/>
        <v>84505.810643016855</v>
      </c>
      <c r="T21" s="359">
        <f t="shared" si="31"/>
        <v>87886.043068737534</v>
      </c>
      <c r="U21" s="359">
        <f t="shared" si="31"/>
        <v>91401.484791487033</v>
      </c>
      <c r="V21" s="359">
        <f t="shared" si="31"/>
        <v>95057.544183146514</v>
      </c>
      <c r="W21" s="359">
        <f t="shared" si="31"/>
        <v>98859.845950472372</v>
      </c>
      <c r="X21" s="359">
        <f t="shared" si="31"/>
        <v>102814.23978849126</v>
      </c>
      <c r="Y21" s="413">
        <f>IF(C20="N/A","N/A",SUM(E21:X21))</f>
        <v>1453170.2345007721</v>
      </c>
    </row>
    <row r="22" spans="1:26" x14ac:dyDescent="0.25">
      <c r="A22" s="649"/>
      <c r="B22" s="538"/>
      <c r="C22" s="652"/>
      <c r="D22" s="58" t="s">
        <v>202</v>
      </c>
      <c r="E22" s="359">
        <f>IF(C20="N/A","N/A",'Carbon Cost'!H12)</f>
        <v>12374.039817776436</v>
      </c>
      <c r="F22" s="359">
        <f t="shared" ref="F22:X22" si="32">IF($C$20="N/A","N/A",E22*(1+$B$5))</f>
        <v>12869.001410487494</v>
      </c>
      <c r="G22" s="359">
        <f t="shared" si="32"/>
        <v>13383.761466906994</v>
      </c>
      <c r="H22" s="359">
        <f t="shared" si="32"/>
        <v>13919.111925583275</v>
      </c>
      <c r="I22" s="359">
        <f t="shared" si="32"/>
        <v>14475.876402606606</v>
      </c>
      <c r="J22" s="359">
        <f t="shared" si="32"/>
        <v>15054.911458710871</v>
      </c>
      <c r="K22" s="359">
        <f t="shared" si="32"/>
        <v>15657.107917059306</v>
      </c>
      <c r="L22" s="359">
        <f t="shared" si="32"/>
        <v>16283.392233741679</v>
      </c>
      <c r="M22" s="359">
        <f t="shared" si="32"/>
        <v>16934.727923091348</v>
      </c>
      <c r="N22" s="359">
        <f t="shared" si="32"/>
        <v>17612.117040015004</v>
      </c>
      <c r="O22" s="359">
        <f t="shared" si="32"/>
        <v>18316.601721615603</v>
      </c>
      <c r="P22" s="359">
        <f t="shared" si="32"/>
        <v>19049.265790480229</v>
      </c>
      <c r="Q22" s="359">
        <f t="shared" si="32"/>
        <v>19811.236422099439</v>
      </c>
      <c r="R22" s="359">
        <f t="shared" si="32"/>
        <v>20603.685878983419</v>
      </c>
      <c r="S22" s="359">
        <f t="shared" si="32"/>
        <v>21427.833314142757</v>
      </c>
      <c r="T22" s="359">
        <f t="shared" si="32"/>
        <v>22284.946646708468</v>
      </c>
      <c r="U22" s="359">
        <f t="shared" si="32"/>
        <v>23176.344512576808</v>
      </c>
      <c r="V22" s="359">
        <f t="shared" si="32"/>
        <v>24103.398293079881</v>
      </c>
      <c r="W22" s="359">
        <f t="shared" si="32"/>
        <v>25067.534224803076</v>
      </c>
      <c r="X22" s="359">
        <f t="shared" si="32"/>
        <v>26070.235593795198</v>
      </c>
      <c r="Y22" s="367">
        <f>IF(C20="N/A","N/A",SUM(E22:X22))</f>
        <v>368475.12999426387</v>
      </c>
    </row>
    <row r="23" spans="1:26" x14ac:dyDescent="0.25">
      <c r="A23" s="649"/>
      <c r="B23" s="539"/>
      <c r="C23" s="653"/>
      <c r="D23" s="58" t="s">
        <v>203</v>
      </c>
      <c r="E23" s="359">
        <f>IF($C$20="N/A","N/A",SUM(E20:E22))</f>
        <v>153647.95253564024</v>
      </c>
      <c r="F23" s="359">
        <f t="shared" ref="F23:X23" si="33">IF($C$20="N/A","N/A",SUM(F20:F22))</f>
        <v>159793.87063706588</v>
      </c>
      <c r="G23" s="359">
        <f t="shared" si="33"/>
        <v>166185.62546254852</v>
      </c>
      <c r="H23" s="359">
        <f t="shared" si="33"/>
        <v>172833.05048105045</v>
      </c>
      <c r="I23" s="359">
        <f t="shared" si="33"/>
        <v>179746.37250029249</v>
      </c>
      <c r="J23" s="359">
        <f t="shared" si="33"/>
        <v>186936.2274003042</v>
      </c>
      <c r="K23" s="359">
        <f t="shared" si="33"/>
        <v>194413.67649631636</v>
      </c>
      <c r="L23" s="359">
        <f t="shared" si="33"/>
        <v>202190.22355616902</v>
      </c>
      <c r="M23" s="359">
        <f t="shared" si="33"/>
        <v>210277.83249841581</v>
      </c>
      <c r="N23" s="359">
        <f t="shared" si="33"/>
        <v>218688.94579835242</v>
      </c>
      <c r="O23" s="359">
        <f t="shared" si="33"/>
        <v>227436.50363028655</v>
      </c>
      <c r="P23" s="359">
        <f t="shared" si="33"/>
        <v>236533.96377549801</v>
      </c>
      <c r="Q23" s="359">
        <f t="shared" si="33"/>
        <v>245995.32232651793</v>
      </c>
      <c r="R23" s="359">
        <f t="shared" si="33"/>
        <v>255835.13521957866</v>
      </c>
      <c r="S23" s="359">
        <f t="shared" si="33"/>
        <v>266068.54062836181</v>
      </c>
      <c r="T23" s="359">
        <f t="shared" si="33"/>
        <v>276711.28225349629</v>
      </c>
      <c r="U23" s="359">
        <f t="shared" si="33"/>
        <v>287779.73354363616</v>
      </c>
      <c r="V23" s="359">
        <f t="shared" si="33"/>
        <v>299290.92288538162</v>
      </c>
      <c r="W23" s="359">
        <f t="shared" si="33"/>
        <v>311262.55980079691</v>
      </c>
      <c r="X23" s="359">
        <f t="shared" si="33"/>
        <v>323713.06219282874</v>
      </c>
      <c r="Y23" s="413">
        <f>IF(C20="N/A","N/A",SUM(C23:X23))</f>
        <v>4575340.8036225382</v>
      </c>
    </row>
    <row r="24" spans="1:26" ht="15.75" thickBot="1" x14ac:dyDescent="0.3">
      <c r="A24" s="650"/>
      <c r="B24" s="101" t="s">
        <v>189</v>
      </c>
      <c r="C24" s="229">
        <f>C20</f>
        <v>9656741.1111111119</v>
      </c>
      <c r="D24" s="101" t="s">
        <v>189</v>
      </c>
      <c r="E24" s="229">
        <f t="shared" ref="E24:X24" si="34">IF($C$20="N/A","N/A",-PV($B$2,E$8,0,E23,0))</f>
        <v>146331.38336727643</v>
      </c>
      <c r="F24" s="229">
        <f t="shared" si="34"/>
        <v>144937.75114473095</v>
      </c>
      <c r="G24" s="229">
        <f t="shared" si="34"/>
        <v>143557.39161001923</v>
      </c>
      <c r="H24" s="229">
        <f t="shared" si="34"/>
        <v>142190.17835659048</v>
      </c>
      <c r="I24" s="229">
        <f t="shared" si="34"/>
        <v>140835.98618176579</v>
      </c>
      <c r="J24" s="229">
        <f t="shared" si="34"/>
        <v>139494.69107527283</v>
      </c>
      <c r="K24" s="229">
        <f t="shared" si="34"/>
        <v>138166.17020788923</v>
      </c>
      <c r="L24" s="229">
        <f t="shared" si="34"/>
        <v>136850.30192019508</v>
      </c>
      <c r="M24" s="229">
        <f t="shared" si="34"/>
        <v>135546.96571143132</v>
      </c>
      <c r="N24" s="229">
        <f t="shared" si="34"/>
        <v>134256.04222846529</v>
      </c>
      <c r="O24" s="229">
        <f t="shared" si="34"/>
        <v>132977.41325486088</v>
      </c>
      <c r="P24" s="229">
        <f t="shared" si="34"/>
        <v>131710.96170005269</v>
      </c>
      <c r="Q24" s="229">
        <f t="shared" si="34"/>
        <v>130456.5715886236</v>
      </c>
      <c r="R24" s="229">
        <f t="shared" si="34"/>
        <v>129214.12804968437</v>
      </c>
      <c r="S24" s="229">
        <f t="shared" si="34"/>
        <v>127983.517306354</v>
      </c>
      <c r="T24" s="229">
        <f t="shared" si="34"/>
        <v>126764.62666534111</v>
      </c>
      <c r="U24" s="229">
        <f t="shared" si="34"/>
        <v>125557.34450662357</v>
      </c>
      <c r="V24" s="229">
        <f t="shared" si="34"/>
        <v>124361.56027322717</v>
      </c>
      <c r="W24" s="229">
        <f t="shared" si="34"/>
        <v>123177.1644611012</v>
      </c>
      <c r="X24" s="229">
        <f t="shared" si="34"/>
        <v>122004.04860909071</v>
      </c>
      <c r="Y24" s="414">
        <f>IF(C20="N/A","N/A",SUM(C24:X24))</f>
        <v>12333115.309329705</v>
      </c>
      <c r="Z24" t="s">
        <v>198</v>
      </c>
    </row>
    <row r="25" spans="1:26" x14ac:dyDescent="0.25">
      <c r="A25" s="651" t="s">
        <v>197</v>
      </c>
      <c r="B25" s="648" t="s">
        <v>188</v>
      </c>
      <c r="C25" s="654" t="str">
        <f>IF(Summary!F21="Yes",'Capital Cost'!F16,"N/A")</f>
        <v>N/A</v>
      </c>
      <c r="D25" s="62" t="s">
        <v>200</v>
      </c>
      <c r="E25" s="361" t="str">
        <f>IF(C25="N/A","N/A",('Energy Cost'!M10))</f>
        <v>N/A</v>
      </c>
      <c r="F25" s="361" t="str">
        <f t="shared" ref="F25:X25" si="35">IF($C$25="N/A","N/A",E25*(1+$B$3))</f>
        <v>N/A</v>
      </c>
      <c r="G25" s="361" t="str">
        <f t="shared" si="35"/>
        <v>N/A</v>
      </c>
      <c r="H25" s="361" t="str">
        <f t="shared" si="35"/>
        <v>N/A</v>
      </c>
      <c r="I25" s="361" t="str">
        <f t="shared" si="35"/>
        <v>N/A</v>
      </c>
      <c r="J25" s="361" t="str">
        <f t="shared" si="35"/>
        <v>N/A</v>
      </c>
      <c r="K25" s="361" t="str">
        <f t="shared" si="35"/>
        <v>N/A</v>
      </c>
      <c r="L25" s="361" t="str">
        <f t="shared" si="35"/>
        <v>N/A</v>
      </c>
      <c r="M25" s="361" t="str">
        <f t="shared" si="35"/>
        <v>N/A</v>
      </c>
      <c r="N25" s="361" t="str">
        <f t="shared" si="35"/>
        <v>N/A</v>
      </c>
      <c r="O25" s="361" t="str">
        <f t="shared" si="35"/>
        <v>N/A</v>
      </c>
      <c r="P25" s="361" t="str">
        <f t="shared" si="35"/>
        <v>N/A</v>
      </c>
      <c r="Q25" s="361" t="str">
        <f t="shared" si="35"/>
        <v>N/A</v>
      </c>
      <c r="R25" s="361" t="str">
        <f t="shared" si="35"/>
        <v>N/A</v>
      </c>
      <c r="S25" s="361" t="str">
        <f t="shared" si="35"/>
        <v>N/A</v>
      </c>
      <c r="T25" s="361" t="str">
        <f t="shared" si="35"/>
        <v>N/A</v>
      </c>
      <c r="U25" s="361" t="str">
        <f t="shared" si="35"/>
        <v>N/A</v>
      </c>
      <c r="V25" s="361" t="str">
        <f t="shared" si="35"/>
        <v>N/A</v>
      </c>
      <c r="W25" s="361" t="str">
        <f t="shared" si="35"/>
        <v>N/A</v>
      </c>
      <c r="X25" s="361" t="str">
        <f t="shared" si="35"/>
        <v>N/A</v>
      </c>
      <c r="Y25" s="412" t="str">
        <f>IF(C25="N/A","N/A",SUM(E25:X25))</f>
        <v>N/A</v>
      </c>
    </row>
    <row r="26" spans="1:26" x14ac:dyDescent="0.25">
      <c r="A26" s="649"/>
      <c r="B26" s="538"/>
      <c r="C26" s="652"/>
      <c r="D26" s="58" t="s">
        <v>201</v>
      </c>
      <c r="E26" s="359" t="str">
        <f>IF(C25="N/A","N/A",'Annual Maintenance Cost'!F9)</f>
        <v>N/A</v>
      </c>
      <c r="F26" s="359" t="str">
        <f t="shared" ref="F26:X26" si="36">IF($C$25="N/A","N/A",E26*(1+$B$4))</f>
        <v>N/A</v>
      </c>
      <c r="G26" s="359" t="str">
        <f t="shared" si="36"/>
        <v>N/A</v>
      </c>
      <c r="H26" s="359" t="str">
        <f t="shared" si="36"/>
        <v>N/A</v>
      </c>
      <c r="I26" s="359" t="str">
        <f t="shared" si="36"/>
        <v>N/A</v>
      </c>
      <c r="J26" s="359" t="str">
        <f t="shared" si="36"/>
        <v>N/A</v>
      </c>
      <c r="K26" s="359" t="str">
        <f t="shared" si="36"/>
        <v>N/A</v>
      </c>
      <c r="L26" s="359" t="str">
        <f t="shared" si="36"/>
        <v>N/A</v>
      </c>
      <c r="M26" s="359" t="str">
        <f t="shared" si="36"/>
        <v>N/A</v>
      </c>
      <c r="N26" s="359" t="str">
        <f t="shared" si="36"/>
        <v>N/A</v>
      </c>
      <c r="O26" s="359" t="str">
        <f t="shared" si="36"/>
        <v>N/A</v>
      </c>
      <c r="P26" s="359" t="str">
        <f t="shared" si="36"/>
        <v>N/A</v>
      </c>
      <c r="Q26" s="359" t="str">
        <f t="shared" si="36"/>
        <v>N/A</v>
      </c>
      <c r="R26" s="359" t="str">
        <f t="shared" si="36"/>
        <v>N/A</v>
      </c>
      <c r="S26" s="359" t="str">
        <f t="shared" si="36"/>
        <v>N/A</v>
      </c>
      <c r="T26" s="359" t="str">
        <f t="shared" si="36"/>
        <v>N/A</v>
      </c>
      <c r="U26" s="359" t="str">
        <f t="shared" si="36"/>
        <v>N/A</v>
      </c>
      <c r="V26" s="359" t="str">
        <f t="shared" si="36"/>
        <v>N/A</v>
      </c>
      <c r="W26" s="359" t="str">
        <f t="shared" si="36"/>
        <v>N/A</v>
      </c>
      <c r="X26" s="359" t="str">
        <f t="shared" si="36"/>
        <v>N/A</v>
      </c>
      <c r="Y26" s="413" t="str">
        <f>IF(C25="N/A","N/A",SUM(E26:X26))</f>
        <v>N/A</v>
      </c>
    </row>
    <row r="27" spans="1:26" x14ac:dyDescent="0.25">
      <c r="A27" s="649"/>
      <c r="B27" s="538"/>
      <c r="C27" s="652"/>
      <c r="D27" s="58" t="s">
        <v>202</v>
      </c>
      <c r="E27" s="359" t="str">
        <f>IF(C25="N/A","N/A",'Carbon Cost'!I12)</f>
        <v>N/A</v>
      </c>
      <c r="F27" s="359" t="str">
        <f t="shared" ref="F27:X27" si="37">IF($C$25="N/A","N/A",E27*(1+$B$5))</f>
        <v>N/A</v>
      </c>
      <c r="G27" s="359" t="str">
        <f t="shared" si="37"/>
        <v>N/A</v>
      </c>
      <c r="H27" s="359" t="str">
        <f t="shared" si="37"/>
        <v>N/A</v>
      </c>
      <c r="I27" s="359" t="str">
        <f t="shared" si="37"/>
        <v>N/A</v>
      </c>
      <c r="J27" s="359" t="str">
        <f t="shared" si="37"/>
        <v>N/A</v>
      </c>
      <c r="K27" s="359" t="str">
        <f t="shared" si="37"/>
        <v>N/A</v>
      </c>
      <c r="L27" s="359" t="str">
        <f t="shared" si="37"/>
        <v>N/A</v>
      </c>
      <c r="M27" s="359" t="str">
        <f t="shared" si="37"/>
        <v>N/A</v>
      </c>
      <c r="N27" s="359" t="str">
        <f t="shared" si="37"/>
        <v>N/A</v>
      </c>
      <c r="O27" s="359" t="str">
        <f t="shared" si="37"/>
        <v>N/A</v>
      </c>
      <c r="P27" s="359" t="str">
        <f t="shared" si="37"/>
        <v>N/A</v>
      </c>
      <c r="Q27" s="359" t="str">
        <f t="shared" si="37"/>
        <v>N/A</v>
      </c>
      <c r="R27" s="359" t="str">
        <f t="shared" si="37"/>
        <v>N/A</v>
      </c>
      <c r="S27" s="359" t="str">
        <f t="shared" si="37"/>
        <v>N/A</v>
      </c>
      <c r="T27" s="359" t="str">
        <f t="shared" si="37"/>
        <v>N/A</v>
      </c>
      <c r="U27" s="359" t="str">
        <f t="shared" si="37"/>
        <v>N/A</v>
      </c>
      <c r="V27" s="359" t="str">
        <f t="shared" si="37"/>
        <v>N/A</v>
      </c>
      <c r="W27" s="359" t="str">
        <f t="shared" si="37"/>
        <v>N/A</v>
      </c>
      <c r="X27" s="359" t="str">
        <f t="shared" si="37"/>
        <v>N/A</v>
      </c>
      <c r="Y27" s="367" t="str">
        <f>IF(C25="N/A","N/A",SUM(E27:X27))</f>
        <v>N/A</v>
      </c>
    </row>
    <row r="28" spans="1:26" x14ac:dyDescent="0.25">
      <c r="A28" s="649"/>
      <c r="B28" s="539"/>
      <c r="C28" s="653"/>
      <c r="D28" s="58" t="s">
        <v>203</v>
      </c>
      <c r="E28" s="359" t="str">
        <f>IF($C$25="N/A","N/A",SUM(E25:E27))</f>
        <v>N/A</v>
      </c>
      <c r="F28" s="359" t="str">
        <f t="shared" ref="F28:X28" si="38">IF($C$25="N/A","N/A",SUM(F25:F27))</f>
        <v>N/A</v>
      </c>
      <c r="G28" s="359" t="str">
        <f t="shared" si="38"/>
        <v>N/A</v>
      </c>
      <c r="H28" s="359" t="str">
        <f t="shared" si="38"/>
        <v>N/A</v>
      </c>
      <c r="I28" s="359" t="str">
        <f t="shared" si="38"/>
        <v>N/A</v>
      </c>
      <c r="J28" s="359" t="str">
        <f t="shared" si="38"/>
        <v>N/A</v>
      </c>
      <c r="K28" s="359" t="str">
        <f t="shared" si="38"/>
        <v>N/A</v>
      </c>
      <c r="L28" s="359" t="str">
        <f t="shared" si="38"/>
        <v>N/A</v>
      </c>
      <c r="M28" s="359" t="str">
        <f t="shared" si="38"/>
        <v>N/A</v>
      </c>
      <c r="N28" s="359" t="str">
        <f t="shared" si="38"/>
        <v>N/A</v>
      </c>
      <c r="O28" s="359" t="str">
        <f t="shared" si="38"/>
        <v>N/A</v>
      </c>
      <c r="P28" s="359" t="str">
        <f t="shared" si="38"/>
        <v>N/A</v>
      </c>
      <c r="Q28" s="359" t="str">
        <f t="shared" si="38"/>
        <v>N/A</v>
      </c>
      <c r="R28" s="359" t="str">
        <f t="shared" si="38"/>
        <v>N/A</v>
      </c>
      <c r="S28" s="359" t="str">
        <f t="shared" si="38"/>
        <v>N/A</v>
      </c>
      <c r="T28" s="359" t="str">
        <f t="shared" si="38"/>
        <v>N/A</v>
      </c>
      <c r="U28" s="359" t="str">
        <f t="shared" si="38"/>
        <v>N/A</v>
      </c>
      <c r="V28" s="359" t="str">
        <f t="shared" si="38"/>
        <v>N/A</v>
      </c>
      <c r="W28" s="359" t="str">
        <f t="shared" si="38"/>
        <v>N/A</v>
      </c>
      <c r="X28" s="359" t="str">
        <f t="shared" si="38"/>
        <v>N/A</v>
      </c>
      <c r="Y28" s="413" t="str">
        <f>IF(C25="N/A","N/A",SUM(C28:X28))</f>
        <v>N/A</v>
      </c>
    </row>
    <row r="29" spans="1:26" ht="15.75" thickBot="1" x14ac:dyDescent="0.3">
      <c r="A29" s="650"/>
      <c r="B29" s="101" t="s">
        <v>189</v>
      </c>
      <c r="C29" s="229" t="str">
        <f>C25</f>
        <v>N/A</v>
      </c>
      <c r="D29" s="101" t="s">
        <v>189</v>
      </c>
      <c r="E29" s="229" t="str">
        <f t="shared" ref="E29:X29" si="39">IF($C$25="N/A","N/A",-PV($B$2,E$8,0,E28,0))</f>
        <v>N/A</v>
      </c>
      <c r="F29" s="229" t="str">
        <f t="shared" si="39"/>
        <v>N/A</v>
      </c>
      <c r="G29" s="229" t="str">
        <f t="shared" si="39"/>
        <v>N/A</v>
      </c>
      <c r="H29" s="229" t="str">
        <f t="shared" si="39"/>
        <v>N/A</v>
      </c>
      <c r="I29" s="229" t="str">
        <f t="shared" si="39"/>
        <v>N/A</v>
      </c>
      <c r="J29" s="229" t="str">
        <f t="shared" si="39"/>
        <v>N/A</v>
      </c>
      <c r="K29" s="229" t="str">
        <f t="shared" si="39"/>
        <v>N/A</v>
      </c>
      <c r="L29" s="229" t="str">
        <f t="shared" si="39"/>
        <v>N/A</v>
      </c>
      <c r="M29" s="229" t="str">
        <f t="shared" si="39"/>
        <v>N/A</v>
      </c>
      <c r="N29" s="229" t="str">
        <f t="shared" si="39"/>
        <v>N/A</v>
      </c>
      <c r="O29" s="229" t="str">
        <f t="shared" si="39"/>
        <v>N/A</v>
      </c>
      <c r="P29" s="229" t="str">
        <f t="shared" si="39"/>
        <v>N/A</v>
      </c>
      <c r="Q29" s="229" t="str">
        <f t="shared" si="39"/>
        <v>N/A</v>
      </c>
      <c r="R29" s="229" t="str">
        <f t="shared" si="39"/>
        <v>N/A</v>
      </c>
      <c r="S29" s="229" t="str">
        <f t="shared" si="39"/>
        <v>N/A</v>
      </c>
      <c r="T29" s="229" t="str">
        <f t="shared" si="39"/>
        <v>N/A</v>
      </c>
      <c r="U29" s="229" t="str">
        <f t="shared" si="39"/>
        <v>N/A</v>
      </c>
      <c r="V29" s="229" t="str">
        <f t="shared" si="39"/>
        <v>N/A</v>
      </c>
      <c r="W29" s="229" t="str">
        <f t="shared" si="39"/>
        <v>N/A</v>
      </c>
      <c r="X29" s="229" t="str">
        <f t="shared" si="39"/>
        <v>N/A</v>
      </c>
      <c r="Y29" s="414" t="str">
        <f>IF(C25="N/A","N/A",SUM(C29:X29))</f>
        <v>N/A</v>
      </c>
      <c r="Z29" t="s">
        <v>198</v>
      </c>
    </row>
  </sheetData>
  <mergeCells count="18">
    <mergeCell ref="A20:A24"/>
    <mergeCell ref="B20:B23"/>
    <mergeCell ref="C20:C23"/>
    <mergeCell ref="A25:A29"/>
    <mergeCell ref="B25:B28"/>
    <mergeCell ref="C25:C28"/>
    <mergeCell ref="A1:B1"/>
    <mergeCell ref="A10:A14"/>
    <mergeCell ref="B10:B13"/>
    <mergeCell ref="C10:C13"/>
    <mergeCell ref="A15:A19"/>
    <mergeCell ref="B15:B18"/>
    <mergeCell ref="C15:C18"/>
    <mergeCell ref="A7:Y7"/>
    <mergeCell ref="A8:A9"/>
    <mergeCell ref="B8:B9"/>
    <mergeCell ref="D8:D9"/>
    <mergeCell ref="Y8:Y9"/>
  </mergeCells>
  <pageMargins left="0.7" right="0.7" top="0.75" bottom="0.75" header="0.3" footer="0.3"/>
  <pageSetup paperSize="3" scale="6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pageSetUpPr fitToPage="1"/>
  </sheetPr>
  <dimension ref="A1:Z47"/>
  <sheetViews>
    <sheetView view="pageBreakPreview" zoomScale="80" zoomScaleNormal="80" zoomScaleSheetLayoutView="80" workbookViewId="0">
      <pane xSplit="5" topLeftCell="F1" activePane="topRight" state="frozen"/>
      <selection pane="topRight" activeCell="L18" sqref="L18"/>
    </sheetView>
  </sheetViews>
  <sheetFormatPr defaultRowHeight="15" x14ac:dyDescent="0.25"/>
  <cols>
    <col min="1" max="1" width="23.5703125" bestFit="1" customWidth="1"/>
    <col min="2" max="2" width="13.28515625" bestFit="1" customWidth="1"/>
    <col min="3" max="3" width="12.7109375" bestFit="1" customWidth="1"/>
    <col min="4" max="4" width="18.5703125" bestFit="1" customWidth="1"/>
    <col min="5" max="16" width="10.5703125" customWidth="1"/>
    <col min="17" max="17" width="11.140625" bestFit="1" customWidth="1"/>
    <col min="18" max="24" width="10.5703125" customWidth="1"/>
    <col min="25" max="25" width="12.7109375" bestFit="1" customWidth="1"/>
    <col min="26" max="26" width="5" bestFit="1" customWidth="1"/>
    <col min="35" max="35" width="11.5703125" bestFit="1" customWidth="1"/>
  </cols>
  <sheetData>
    <row r="1" spans="1:26" x14ac:dyDescent="0.25">
      <c r="A1" s="517" t="s">
        <v>218</v>
      </c>
      <c r="B1" s="517"/>
    </row>
    <row r="2" spans="1:26" x14ac:dyDescent="0.25">
      <c r="A2" s="1" t="s">
        <v>195</v>
      </c>
      <c r="B2" s="100">
        <v>0.05</v>
      </c>
    </row>
    <row r="3" spans="1:26" x14ac:dyDescent="0.25">
      <c r="A3" s="1" t="s">
        <v>193</v>
      </c>
      <c r="B3" s="100">
        <v>0.03</v>
      </c>
    </row>
    <row r="4" spans="1:26" x14ac:dyDescent="0.25">
      <c r="A4" s="1" t="s">
        <v>194</v>
      </c>
      <c r="B4" s="100">
        <v>0.03</v>
      </c>
    </row>
    <row r="5" spans="1:26" x14ac:dyDescent="0.25">
      <c r="A5" s="1" t="s">
        <v>199</v>
      </c>
      <c r="B5" s="100">
        <v>0.03</v>
      </c>
    </row>
    <row r="6" spans="1:26" ht="15.75" thickBot="1" x14ac:dyDescent="0.3"/>
    <row r="7" spans="1:26" x14ac:dyDescent="0.25">
      <c r="A7" s="599" t="s">
        <v>219</v>
      </c>
      <c r="B7" s="600"/>
      <c r="C7" s="600"/>
      <c r="D7" s="600"/>
      <c r="E7" s="600"/>
      <c r="F7" s="600"/>
      <c r="G7" s="600"/>
      <c r="H7" s="600"/>
      <c r="I7" s="600"/>
      <c r="J7" s="600"/>
      <c r="K7" s="600"/>
      <c r="L7" s="600"/>
      <c r="M7" s="600"/>
      <c r="N7" s="600"/>
      <c r="O7" s="600"/>
      <c r="P7" s="600"/>
      <c r="Q7" s="600"/>
      <c r="R7" s="600"/>
      <c r="S7" s="600"/>
      <c r="T7" s="600"/>
      <c r="U7" s="600"/>
      <c r="V7" s="600"/>
      <c r="W7" s="600"/>
      <c r="X7" s="600"/>
      <c r="Y7" s="601"/>
    </row>
    <row r="8" spans="1:26" x14ac:dyDescent="0.25">
      <c r="A8" s="635" t="s">
        <v>23</v>
      </c>
      <c r="B8" s="527" t="s">
        <v>221</v>
      </c>
      <c r="C8" s="99">
        <v>0</v>
      </c>
      <c r="D8" s="640" t="s">
        <v>220</v>
      </c>
      <c r="E8" s="99">
        <v>1</v>
      </c>
      <c r="F8" s="99">
        <v>2</v>
      </c>
      <c r="G8" s="99">
        <v>3</v>
      </c>
      <c r="H8" s="99">
        <v>4</v>
      </c>
      <c r="I8" s="99">
        <v>5</v>
      </c>
      <c r="J8" s="99">
        <v>6</v>
      </c>
      <c r="K8" s="99">
        <v>7</v>
      </c>
      <c r="L8" s="99">
        <v>8</v>
      </c>
      <c r="M8" s="99">
        <v>9</v>
      </c>
      <c r="N8" s="99">
        <v>10</v>
      </c>
      <c r="O8" s="99">
        <v>11</v>
      </c>
      <c r="P8" s="99">
        <v>12</v>
      </c>
      <c r="Q8" s="99">
        <v>13</v>
      </c>
      <c r="R8" s="99">
        <v>14</v>
      </c>
      <c r="S8" s="99">
        <v>15</v>
      </c>
      <c r="T8" s="99">
        <v>16</v>
      </c>
      <c r="U8" s="99">
        <v>17</v>
      </c>
      <c r="V8" s="99">
        <v>18</v>
      </c>
      <c r="W8" s="99">
        <v>19</v>
      </c>
      <c r="X8" s="99">
        <v>20</v>
      </c>
      <c r="Y8" s="638" t="s">
        <v>190</v>
      </c>
    </row>
    <row r="9" spans="1:26" ht="15.75" thickBot="1" x14ac:dyDescent="0.3">
      <c r="A9" s="636"/>
      <c r="B9" s="637"/>
      <c r="C9" s="103">
        <v>2018</v>
      </c>
      <c r="D9" s="641"/>
      <c r="E9" s="103">
        <v>2019</v>
      </c>
      <c r="F9" s="103">
        <v>2020</v>
      </c>
      <c r="G9" s="103">
        <v>2021</v>
      </c>
      <c r="H9" s="103">
        <v>2022</v>
      </c>
      <c r="I9" s="103">
        <v>2023</v>
      </c>
      <c r="J9" s="103">
        <v>2024</v>
      </c>
      <c r="K9" s="103">
        <v>2025</v>
      </c>
      <c r="L9" s="103">
        <v>2026</v>
      </c>
      <c r="M9" s="103">
        <v>2027</v>
      </c>
      <c r="N9" s="103">
        <v>2028</v>
      </c>
      <c r="O9" s="103">
        <v>2029</v>
      </c>
      <c r="P9" s="103">
        <v>2030</v>
      </c>
      <c r="Q9" s="103">
        <v>2031</v>
      </c>
      <c r="R9" s="103">
        <v>2032</v>
      </c>
      <c r="S9" s="103">
        <v>2033</v>
      </c>
      <c r="T9" s="103">
        <v>2034</v>
      </c>
      <c r="U9" s="103">
        <v>2035</v>
      </c>
      <c r="V9" s="103">
        <v>2036</v>
      </c>
      <c r="W9" s="103">
        <v>2037</v>
      </c>
      <c r="X9" s="103">
        <v>2038</v>
      </c>
      <c r="Y9" s="639"/>
    </row>
    <row r="10" spans="1:26" ht="15" customHeight="1" x14ac:dyDescent="0.25">
      <c r="A10" s="655" t="s">
        <v>288</v>
      </c>
      <c r="B10" s="538" t="s">
        <v>188</v>
      </c>
      <c r="C10" s="646" t="e">
        <f>IF(Summary!#REF!="air-cooled",('Capital Cost'!#REF!-Summary!#REF!),"N/A")</f>
        <v>#REF!</v>
      </c>
      <c r="D10" s="102" t="s">
        <v>200</v>
      </c>
      <c r="E10" s="356" t="e">
        <f>IF($C$10="N/A","N/A",(#REF!))</f>
        <v>#REF!</v>
      </c>
      <c r="F10" s="357" t="e">
        <f>IF($C$10="N/A","N/A",E10*(1+$B$3))</f>
        <v>#REF!</v>
      </c>
      <c r="G10" s="357" t="e">
        <f t="shared" ref="G10:X10" si="0">IF($C$10="N/A","N/A",F10*(1+$B$3))</f>
        <v>#REF!</v>
      </c>
      <c r="H10" s="357" t="e">
        <f t="shared" si="0"/>
        <v>#REF!</v>
      </c>
      <c r="I10" s="357" t="e">
        <f t="shared" si="0"/>
        <v>#REF!</v>
      </c>
      <c r="J10" s="357" t="e">
        <f t="shared" si="0"/>
        <v>#REF!</v>
      </c>
      <c r="K10" s="357" t="e">
        <f t="shared" si="0"/>
        <v>#REF!</v>
      </c>
      <c r="L10" s="357" t="e">
        <f t="shared" si="0"/>
        <v>#REF!</v>
      </c>
      <c r="M10" s="357" t="e">
        <f t="shared" si="0"/>
        <v>#REF!</v>
      </c>
      <c r="N10" s="357" t="e">
        <f t="shared" si="0"/>
        <v>#REF!</v>
      </c>
      <c r="O10" s="357" t="e">
        <f t="shared" si="0"/>
        <v>#REF!</v>
      </c>
      <c r="P10" s="357" t="e">
        <f t="shared" si="0"/>
        <v>#REF!</v>
      </c>
      <c r="Q10" s="357" t="e">
        <f t="shared" si="0"/>
        <v>#REF!</v>
      </c>
      <c r="R10" s="357" t="e">
        <f>IF($C$10="N/A","N/A",Q10*(1+$B$3))</f>
        <v>#REF!</v>
      </c>
      <c r="S10" s="357" t="e">
        <f t="shared" si="0"/>
        <v>#REF!</v>
      </c>
      <c r="T10" s="357" t="e">
        <f t="shared" si="0"/>
        <v>#REF!</v>
      </c>
      <c r="U10" s="357" t="e">
        <f t="shared" si="0"/>
        <v>#REF!</v>
      </c>
      <c r="V10" s="357" t="e">
        <f t="shared" si="0"/>
        <v>#REF!</v>
      </c>
      <c r="W10" s="357" t="e">
        <f t="shared" si="0"/>
        <v>#REF!</v>
      </c>
      <c r="X10" s="357" t="e">
        <f t="shared" si="0"/>
        <v>#REF!</v>
      </c>
      <c r="Y10" s="367" t="e">
        <f>IF(C10="N/A","N/A",SUM(E10:X10))</f>
        <v>#REF!</v>
      </c>
    </row>
    <row r="11" spans="1:26" ht="15" customHeight="1" x14ac:dyDescent="0.25">
      <c r="A11" s="643"/>
      <c r="B11" s="538"/>
      <c r="C11" s="646"/>
      <c r="D11" s="58" t="s">
        <v>201</v>
      </c>
      <c r="E11" s="358" t="e">
        <f>IF($C$10="N/A","N/A",'Annual Maintenance Cost'!#REF!)</f>
        <v>#REF!</v>
      </c>
      <c r="F11" s="359" t="e">
        <f>IF($C$10="N/A","N/A",E11*(1+$B$4))</f>
        <v>#REF!</v>
      </c>
      <c r="G11" s="359" t="e">
        <f t="shared" ref="G11:X11" si="1">IF($C$10="N/A","N/A",F11*(1+$B$4))</f>
        <v>#REF!</v>
      </c>
      <c r="H11" s="359" t="e">
        <f t="shared" si="1"/>
        <v>#REF!</v>
      </c>
      <c r="I11" s="359" t="e">
        <f t="shared" si="1"/>
        <v>#REF!</v>
      </c>
      <c r="J11" s="359" t="e">
        <f t="shared" si="1"/>
        <v>#REF!</v>
      </c>
      <c r="K11" s="359" t="e">
        <f t="shared" si="1"/>
        <v>#REF!</v>
      </c>
      <c r="L11" s="359" t="e">
        <f t="shared" si="1"/>
        <v>#REF!</v>
      </c>
      <c r="M11" s="359" t="e">
        <f t="shared" si="1"/>
        <v>#REF!</v>
      </c>
      <c r="N11" s="359" t="e">
        <f t="shared" si="1"/>
        <v>#REF!</v>
      </c>
      <c r="O11" s="359" t="e">
        <f t="shared" si="1"/>
        <v>#REF!</v>
      </c>
      <c r="P11" s="359" t="e">
        <f t="shared" si="1"/>
        <v>#REF!</v>
      </c>
      <c r="Q11" s="359" t="e">
        <f t="shared" si="1"/>
        <v>#REF!</v>
      </c>
      <c r="R11" s="359" t="e">
        <f t="shared" si="1"/>
        <v>#REF!</v>
      </c>
      <c r="S11" s="359" t="e">
        <f t="shared" si="1"/>
        <v>#REF!</v>
      </c>
      <c r="T11" s="359" t="e">
        <f t="shared" si="1"/>
        <v>#REF!</v>
      </c>
      <c r="U11" s="359" t="e">
        <f t="shared" si="1"/>
        <v>#REF!</v>
      </c>
      <c r="V11" s="359" t="e">
        <f t="shared" si="1"/>
        <v>#REF!</v>
      </c>
      <c r="W11" s="359" t="e">
        <f t="shared" si="1"/>
        <v>#REF!</v>
      </c>
      <c r="X11" s="359" t="e">
        <f t="shared" si="1"/>
        <v>#REF!</v>
      </c>
      <c r="Y11" s="367" t="e">
        <f>IF(C10="N/A","N/A",SUM(E11:X11))</f>
        <v>#REF!</v>
      </c>
    </row>
    <row r="12" spans="1:26" ht="15" customHeight="1" x14ac:dyDescent="0.25">
      <c r="A12" s="643"/>
      <c r="B12" s="538"/>
      <c r="C12" s="646"/>
      <c r="D12" s="58" t="s">
        <v>202</v>
      </c>
      <c r="E12" s="359" t="e">
        <f>IF(C10="N/A","N/A",'Carbon Cost'!#REF!)</f>
        <v>#REF!</v>
      </c>
      <c r="F12" s="359" t="e">
        <f>IF($C$10="N/A","N/A",E12*(1+$B$5))</f>
        <v>#REF!</v>
      </c>
      <c r="G12" s="359" t="e">
        <f t="shared" ref="G12:X12" si="2">IF($C$10="N/A","N/A",F12*(1+$B$5))</f>
        <v>#REF!</v>
      </c>
      <c r="H12" s="359" t="e">
        <f t="shared" si="2"/>
        <v>#REF!</v>
      </c>
      <c r="I12" s="359" t="e">
        <f t="shared" si="2"/>
        <v>#REF!</v>
      </c>
      <c r="J12" s="359" t="e">
        <f t="shared" si="2"/>
        <v>#REF!</v>
      </c>
      <c r="K12" s="359" t="e">
        <f t="shared" si="2"/>
        <v>#REF!</v>
      </c>
      <c r="L12" s="359" t="e">
        <f t="shared" si="2"/>
        <v>#REF!</v>
      </c>
      <c r="M12" s="359" t="e">
        <f t="shared" si="2"/>
        <v>#REF!</v>
      </c>
      <c r="N12" s="359" t="e">
        <f t="shared" si="2"/>
        <v>#REF!</v>
      </c>
      <c r="O12" s="359" t="e">
        <f t="shared" si="2"/>
        <v>#REF!</v>
      </c>
      <c r="P12" s="359" t="e">
        <f t="shared" si="2"/>
        <v>#REF!</v>
      </c>
      <c r="Q12" s="359" t="e">
        <f t="shared" si="2"/>
        <v>#REF!</v>
      </c>
      <c r="R12" s="359" t="e">
        <f t="shared" si="2"/>
        <v>#REF!</v>
      </c>
      <c r="S12" s="359" t="e">
        <f t="shared" si="2"/>
        <v>#REF!</v>
      </c>
      <c r="T12" s="359" t="e">
        <f t="shared" si="2"/>
        <v>#REF!</v>
      </c>
      <c r="U12" s="359" t="e">
        <f t="shared" si="2"/>
        <v>#REF!</v>
      </c>
      <c r="V12" s="359" t="e">
        <f t="shared" si="2"/>
        <v>#REF!</v>
      </c>
      <c r="W12" s="359" t="e">
        <f t="shared" si="2"/>
        <v>#REF!</v>
      </c>
      <c r="X12" s="359" t="e">
        <f t="shared" si="2"/>
        <v>#REF!</v>
      </c>
      <c r="Y12" s="367" t="e">
        <f>IF(C10="N/A","N/A",SUM(E12:X12))</f>
        <v>#REF!</v>
      </c>
    </row>
    <row r="13" spans="1:26" ht="15" customHeight="1" x14ac:dyDescent="0.25">
      <c r="A13" s="643"/>
      <c r="B13" s="539"/>
      <c r="C13" s="647"/>
      <c r="D13" s="58" t="s">
        <v>203</v>
      </c>
      <c r="E13" s="359" t="e">
        <f>IF($C$10="N/A","N/A",SUM(E10:E12))</f>
        <v>#REF!</v>
      </c>
      <c r="F13" s="359" t="e">
        <f t="shared" ref="F13:X13" si="3">IF($C$10="N/A","N/A",SUM(F10:F12))</f>
        <v>#REF!</v>
      </c>
      <c r="G13" s="359" t="e">
        <f t="shared" si="3"/>
        <v>#REF!</v>
      </c>
      <c r="H13" s="359" t="e">
        <f t="shared" si="3"/>
        <v>#REF!</v>
      </c>
      <c r="I13" s="359" t="e">
        <f t="shared" si="3"/>
        <v>#REF!</v>
      </c>
      <c r="J13" s="359" t="e">
        <f t="shared" si="3"/>
        <v>#REF!</v>
      </c>
      <c r="K13" s="359" t="e">
        <f t="shared" si="3"/>
        <v>#REF!</v>
      </c>
      <c r="L13" s="359" t="e">
        <f t="shared" si="3"/>
        <v>#REF!</v>
      </c>
      <c r="M13" s="359" t="e">
        <f t="shared" si="3"/>
        <v>#REF!</v>
      </c>
      <c r="N13" s="359" t="e">
        <f t="shared" si="3"/>
        <v>#REF!</v>
      </c>
      <c r="O13" s="359" t="e">
        <f t="shared" si="3"/>
        <v>#REF!</v>
      </c>
      <c r="P13" s="359" t="e">
        <f t="shared" si="3"/>
        <v>#REF!</v>
      </c>
      <c r="Q13" s="359" t="e">
        <f t="shared" si="3"/>
        <v>#REF!</v>
      </c>
      <c r="R13" s="359" t="e">
        <f t="shared" si="3"/>
        <v>#REF!</v>
      </c>
      <c r="S13" s="359" t="e">
        <f t="shared" si="3"/>
        <v>#REF!</v>
      </c>
      <c r="T13" s="359" t="e">
        <f t="shared" si="3"/>
        <v>#REF!</v>
      </c>
      <c r="U13" s="359" t="e">
        <f t="shared" si="3"/>
        <v>#REF!</v>
      </c>
      <c r="V13" s="359" t="e">
        <f t="shared" si="3"/>
        <v>#REF!</v>
      </c>
      <c r="W13" s="359" t="e">
        <f t="shared" si="3"/>
        <v>#REF!</v>
      </c>
      <c r="X13" s="359" t="e">
        <f t="shared" si="3"/>
        <v>#REF!</v>
      </c>
      <c r="Y13" s="367" t="e">
        <f>IF(C10="N/A","N/A",SUM(E13:X13))</f>
        <v>#REF!</v>
      </c>
    </row>
    <row r="14" spans="1:26" ht="15.75" thickBot="1" x14ac:dyDescent="0.3">
      <c r="A14" s="656"/>
      <c r="B14" s="365" t="s">
        <v>189</v>
      </c>
      <c r="C14" s="366" t="e">
        <f>C10</f>
        <v>#REF!</v>
      </c>
      <c r="D14" s="365" t="s">
        <v>189</v>
      </c>
      <c r="E14" s="366" t="e">
        <f>IF($C$10="N/A","N/A",-PV($B$2,$E$8,0,E13,0))</f>
        <v>#REF!</v>
      </c>
      <c r="F14" s="366" t="e">
        <f>IF($C$10="N/A","N/A",-PV($B$2,F$8,0,F13,0))</f>
        <v>#REF!</v>
      </c>
      <c r="G14" s="366" t="e">
        <f t="shared" ref="G14:X14" si="4">IF($C$10="N/A","N/A",-PV($B$2,G$8,0,G13,0))</f>
        <v>#REF!</v>
      </c>
      <c r="H14" s="366" t="e">
        <f t="shared" si="4"/>
        <v>#REF!</v>
      </c>
      <c r="I14" s="366" t="e">
        <f t="shared" si="4"/>
        <v>#REF!</v>
      </c>
      <c r="J14" s="366" t="e">
        <f t="shared" si="4"/>
        <v>#REF!</v>
      </c>
      <c r="K14" s="366" t="e">
        <f t="shared" si="4"/>
        <v>#REF!</v>
      </c>
      <c r="L14" s="366" t="e">
        <f t="shared" si="4"/>
        <v>#REF!</v>
      </c>
      <c r="M14" s="366" t="e">
        <f t="shared" si="4"/>
        <v>#REF!</v>
      </c>
      <c r="N14" s="366" t="e">
        <f t="shared" si="4"/>
        <v>#REF!</v>
      </c>
      <c r="O14" s="366" t="e">
        <f t="shared" si="4"/>
        <v>#REF!</v>
      </c>
      <c r="P14" s="366" t="e">
        <f t="shared" si="4"/>
        <v>#REF!</v>
      </c>
      <c r="Q14" s="366" t="e">
        <f t="shared" si="4"/>
        <v>#REF!</v>
      </c>
      <c r="R14" s="366" t="e">
        <f t="shared" si="4"/>
        <v>#REF!</v>
      </c>
      <c r="S14" s="366" t="e">
        <f t="shared" si="4"/>
        <v>#REF!</v>
      </c>
      <c r="T14" s="366" t="e">
        <f t="shared" si="4"/>
        <v>#REF!</v>
      </c>
      <c r="U14" s="366" t="e">
        <f t="shared" si="4"/>
        <v>#REF!</v>
      </c>
      <c r="V14" s="366" t="e">
        <f t="shared" si="4"/>
        <v>#REF!</v>
      </c>
      <c r="W14" s="366" t="e">
        <f t="shared" si="4"/>
        <v>#REF!</v>
      </c>
      <c r="X14" s="366" t="e">
        <f t="shared" si="4"/>
        <v>#REF!</v>
      </c>
      <c r="Y14" s="368" t="e">
        <f>IF(C10="N/A","N/A",SUM(C14:X14))</f>
        <v>#REF!</v>
      </c>
      <c r="Z14" t="s">
        <v>198</v>
      </c>
    </row>
    <row r="15" spans="1:26" x14ac:dyDescent="0.25">
      <c r="A15" s="642" t="s">
        <v>289</v>
      </c>
      <c r="B15" s="648" t="s">
        <v>188</v>
      </c>
      <c r="C15" s="645" t="e">
        <f>IF(Summary!#REF!="water-cooled",('Capital Cost'!#REF!-Summary!#REF!),"N/A")</f>
        <v>#REF!</v>
      </c>
      <c r="D15" s="62" t="s">
        <v>200</v>
      </c>
      <c r="E15" s="360" t="e">
        <f>IF(C15="N/A","N/A",(#REF!))</f>
        <v>#REF!</v>
      </c>
      <c r="F15" s="361" t="e">
        <f t="shared" ref="F15:X15" si="5">IF($C$15="N/A","N/A",E15*(1+$B$3))</f>
        <v>#REF!</v>
      </c>
      <c r="G15" s="361" t="e">
        <f t="shared" si="5"/>
        <v>#REF!</v>
      </c>
      <c r="H15" s="361" t="e">
        <f t="shared" si="5"/>
        <v>#REF!</v>
      </c>
      <c r="I15" s="361" t="e">
        <f t="shared" si="5"/>
        <v>#REF!</v>
      </c>
      <c r="J15" s="361" t="e">
        <f t="shared" si="5"/>
        <v>#REF!</v>
      </c>
      <c r="K15" s="361" t="e">
        <f t="shared" si="5"/>
        <v>#REF!</v>
      </c>
      <c r="L15" s="361" t="e">
        <f t="shared" si="5"/>
        <v>#REF!</v>
      </c>
      <c r="M15" s="361" t="e">
        <f t="shared" si="5"/>
        <v>#REF!</v>
      </c>
      <c r="N15" s="361" t="e">
        <f t="shared" si="5"/>
        <v>#REF!</v>
      </c>
      <c r="O15" s="361" t="e">
        <f t="shared" si="5"/>
        <v>#REF!</v>
      </c>
      <c r="P15" s="361" t="e">
        <f t="shared" si="5"/>
        <v>#REF!</v>
      </c>
      <c r="Q15" s="361" t="e">
        <f t="shared" si="5"/>
        <v>#REF!</v>
      </c>
      <c r="R15" s="361" t="e">
        <f t="shared" si="5"/>
        <v>#REF!</v>
      </c>
      <c r="S15" s="361" t="e">
        <f t="shared" si="5"/>
        <v>#REF!</v>
      </c>
      <c r="T15" s="361" t="e">
        <f t="shared" si="5"/>
        <v>#REF!</v>
      </c>
      <c r="U15" s="361" t="e">
        <f t="shared" si="5"/>
        <v>#REF!</v>
      </c>
      <c r="V15" s="361" t="e">
        <f t="shared" si="5"/>
        <v>#REF!</v>
      </c>
      <c r="W15" s="361" t="e">
        <f t="shared" si="5"/>
        <v>#REF!</v>
      </c>
      <c r="X15" s="361" t="e">
        <f t="shared" si="5"/>
        <v>#REF!</v>
      </c>
      <c r="Y15" s="362" t="e">
        <f>IF($C$15="N/A","N/A",SUM(E15:X15))</f>
        <v>#REF!</v>
      </c>
    </row>
    <row r="16" spans="1:26" x14ac:dyDescent="0.25">
      <c r="A16" s="643"/>
      <c r="B16" s="538"/>
      <c r="C16" s="646"/>
      <c r="D16" s="58" t="s">
        <v>201</v>
      </c>
      <c r="E16" s="358" t="e">
        <f>IF(C15="N/A","N/A",'Annual Maintenance Cost'!#REF!)</f>
        <v>#REF!</v>
      </c>
      <c r="F16" s="359" t="e">
        <f>IF($C$15="N/A","N/A",E16*(1+$B$4))</f>
        <v>#REF!</v>
      </c>
      <c r="G16" s="359" t="e">
        <f t="shared" ref="G16:X16" si="6">IF($C$15="N/A","N/A",F16*(1+$B$4))</f>
        <v>#REF!</v>
      </c>
      <c r="H16" s="359" t="e">
        <f t="shared" si="6"/>
        <v>#REF!</v>
      </c>
      <c r="I16" s="359" t="e">
        <f t="shared" si="6"/>
        <v>#REF!</v>
      </c>
      <c r="J16" s="359" t="e">
        <f t="shared" si="6"/>
        <v>#REF!</v>
      </c>
      <c r="K16" s="359" t="e">
        <f t="shared" si="6"/>
        <v>#REF!</v>
      </c>
      <c r="L16" s="359" t="e">
        <f t="shared" si="6"/>
        <v>#REF!</v>
      </c>
      <c r="M16" s="359" t="e">
        <f t="shared" si="6"/>
        <v>#REF!</v>
      </c>
      <c r="N16" s="359" t="e">
        <f t="shared" si="6"/>
        <v>#REF!</v>
      </c>
      <c r="O16" s="359" t="e">
        <f t="shared" si="6"/>
        <v>#REF!</v>
      </c>
      <c r="P16" s="359" t="e">
        <f t="shared" si="6"/>
        <v>#REF!</v>
      </c>
      <c r="Q16" s="359" t="e">
        <f t="shared" si="6"/>
        <v>#REF!</v>
      </c>
      <c r="R16" s="359" t="e">
        <f t="shared" si="6"/>
        <v>#REF!</v>
      </c>
      <c r="S16" s="359" t="e">
        <f t="shared" si="6"/>
        <v>#REF!</v>
      </c>
      <c r="T16" s="359" t="e">
        <f t="shared" si="6"/>
        <v>#REF!</v>
      </c>
      <c r="U16" s="359" t="e">
        <f t="shared" si="6"/>
        <v>#REF!</v>
      </c>
      <c r="V16" s="359" t="e">
        <f t="shared" si="6"/>
        <v>#REF!</v>
      </c>
      <c r="W16" s="359" t="e">
        <f t="shared" si="6"/>
        <v>#REF!</v>
      </c>
      <c r="X16" s="359" t="e">
        <f t="shared" si="6"/>
        <v>#REF!</v>
      </c>
      <c r="Y16" s="363" t="e">
        <f t="shared" ref="Y16:Y18" si="7">IF($C$15="N/A","N/A",SUM(E16:X16))</f>
        <v>#REF!</v>
      </c>
    </row>
    <row r="17" spans="1:26" x14ac:dyDescent="0.25">
      <c r="A17" s="643"/>
      <c r="B17" s="538"/>
      <c r="C17" s="646"/>
      <c r="D17" s="58" t="s">
        <v>202</v>
      </c>
      <c r="E17" s="359" t="e">
        <f>IF(C15="N/A","N/A",'Carbon Cost'!#REF!)</f>
        <v>#REF!</v>
      </c>
      <c r="F17" s="359" t="e">
        <f>IF($C$15="N/A","N/A",E17*(1+$B$5))</f>
        <v>#REF!</v>
      </c>
      <c r="G17" s="359" t="e">
        <f t="shared" ref="G17:X17" si="8">IF($C$15="N/A","N/A",F17*(1+$B$5))</f>
        <v>#REF!</v>
      </c>
      <c r="H17" s="359" t="e">
        <f t="shared" si="8"/>
        <v>#REF!</v>
      </c>
      <c r="I17" s="359" t="e">
        <f t="shared" si="8"/>
        <v>#REF!</v>
      </c>
      <c r="J17" s="359" t="e">
        <f t="shared" si="8"/>
        <v>#REF!</v>
      </c>
      <c r="K17" s="359" t="e">
        <f t="shared" si="8"/>
        <v>#REF!</v>
      </c>
      <c r="L17" s="359" t="e">
        <f t="shared" si="8"/>
        <v>#REF!</v>
      </c>
      <c r="M17" s="359" t="e">
        <f t="shared" si="8"/>
        <v>#REF!</v>
      </c>
      <c r="N17" s="359" t="e">
        <f t="shared" si="8"/>
        <v>#REF!</v>
      </c>
      <c r="O17" s="359" t="e">
        <f t="shared" si="8"/>
        <v>#REF!</v>
      </c>
      <c r="P17" s="359" t="e">
        <f t="shared" si="8"/>
        <v>#REF!</v>
      </c>
      <c r="Q17" s="359" t="e">
        <f t="shared" si="8"/>
        <v>#REF!</v>
      </c>
      <c r="R17" s="359" t="e">
        <f t="shared" si="8"/>
        <v>#REF!</v>
      </c>
      <c r="S17" s="359" t="e">
        <f t="shared" si="8"/>
        <v>#REF!</v>
      </c>
      <c r="T17" s="359" t="e">
        <f t="shared" si="8"/>
        <v>#REF!</v>
      </c>
      <c r="U17" s="359" t="e">
        <f t="shared" si="8"/>
        <v>#REF!</v>
      </c>
      <c r="V17" s="359" t="e">
        <f t="shared" si="8"/>
        <v>#REF!</v>
      </c>
      <c r="W17" s="359" t="e">
        <f t="shared" si="8"/>
        <v>#REF!</v>
      </c>
      <c r="X17" s="359" t="e">
        <f t="shared" si="8"/>
        <v>#REF!</v>
      </c>
      <c r="Y17" s="363" t="e">
        <f>IF($C$15="N/A","N/A",SUM(E17:X17))</f>
        <v>#REF!</v>
      </c>
    </row>
    <row r="18" spans="1:26" x14ac:dyDescent="0.25">
      <c r="A18" s="643"/>
      <c r="B18" s="539"/>
      <c r="C18" s="647"/>
      <c r="D18" s="58" t="s">
        <v>203</v>
      </c>
      <c r="E18" s="359" t="e">
        <f>IF(C15="N/A","N/A",SUM(E15:E17))</f>
        <v>#REF!</v>
      </c>
      <c r="F18" s="359" t="e">
        <f>IF($C$15="N/A","N/A",SUM(F15:F17))</f>
        <v>#REF!</v>
      </c>
      <c r="G18" s="359" t="e">
        <f t="shared" ref="G18:X18" si="9">IF($C$15="N/A","N/A",SUM(G15:G17))</f>
        <v>#REF!</v>
      </c>
      <c r="H18" s="359" t="e">
        <f t="shared" si="9"/>
        <v>#REF!</v>
      </c>
      <c r="I18" s="359" t="e">
        <f t="shared" si="9"/>
        <v>#REF!</v>
      </c>
      <c r="J18" s="359" t="e">
        <f t="shared" si="9"/>
        <v>#REF!</v>
      </c>
      <c r="K18" s="359" t="e">
        <f t="shared" si="9"/>
        <v>#REF!</v>
      </c>
      <c r="L18" s="359" t="e">
        <f t="shared" si="9"/>
        <v>#REF!</v>
      </c>
      <c r="M18" s="359" t="e">
        <f t="shared" si="9"/>
        <v>#REF!</v>
      </c>
      <c r="N18" s="359" t="e">
        <f t="shared" si="9"/>
        <v>#REF!</v>
      </c>
      <c r="O18" s="359" t="e">
        <f t="shared" si="9"/>
        <v>#REF!</v>
      </c>
      <c r="P18" s="359" t="e">
        <f t="shared" si="9"/>
        <v>#REF!</v>
      </c>
      <c r="Q18" s="359" t="e">
        <f t="shared" si="9"/>
        <v>#REF!</v>
      </c>
      <c r="R18" s="359" t="e">
        <f t="shared" si="9"/>
        <v>#REF!</v>
      </c>
      <c r="S18" s="359" t="e">
        <f t="shared" si="9"/>
        <v>#REF!</v>
      </c>
      <c r="T18" s="359" t="e">
        <f t="shared" si="9"/>
        <v>#REF!</v>
      </c>
      <c r="U18" s="359" t="e">
        <f t="shared" si="9"/>
        <v>#REF!</v>
      </c>
      <c r="V18" s="359" t="e">
        <f t="shared" si="9"/>
        <v>#REF!</v>
      </c>
      <c r="W18" s="359" t="e">
        <f t="shared" si="9"/>
        <v>#REF!</v>
      </c>
      <c r="X18" s="359" t="e">
        <f t="shared" si="9"/>
        <v>#REF!</v>
      </c>
      <c r="Y18" s="363" t="e">
        <f t="shared" si="7"/>
        <v>#REF!</v>
      </c>
    </row>
    <row r="19" spans="1:26" ht="15.75" thickBot="1" x14ac:dyDescent="0.3">
      <c r="A19" s="644"/>
      <c r="B19" s="101" t="s">
        <v>189</v>
      </c>
      <c r="C19" s="229" t="e">
        <f>C15</f>
        <v>#REF!</v>
      </c>
      <c r="D19" s="101" t="s">
        <v>189</v>
      </c>
      <c r="E19" s="229" t="e">
        <f>IF($C$15="N/A","N/A",-PV($B$2,E$8,0,E18,0))</f>
        <v>#REF!</v>
      </c>
      <c r="F19" s="229" t="e">
        <f t="shared" ref="F19:X19" si="10">IF($C$15="N/A","N/A",-PV($B$2,F$8,0,F18,0))</f>
        <v>#REF!</v>
      </c>
      <c r="G19" s="229" t="e">
        <f t="shared" si="10"/>
        <v>#REF!</v>
      </c>
      <c r="H19" s="229" t="e">
        <f t="shared" si="10"/>
        <v>#REF!</v>
      </c>
      <c r="I19" s="229" t="e">
        <f t="shared" si="10"/>
        <v>#REF!</v>
      </c>
      <c r="J19" s="229" t="e">
        <f t="shared" si="10"/>
        <v>#REF!</v>
      </c>
      <c r="K19" s="229" t="e">
        <f t="shared" si="10"/>
        <v>#REF!</v>
      </c>
      <c r="L19" s="229" t="e">
        <f t="shared" si="10"/>
        <v>#REF!</v>
      </c>
      <c r="M19" s="229" t="e">
        <f t="shared" si="10"/>
        <v>#REF!</v>
      </c>
      <c r="N19" s="229" t="e">
        <f t="shared" si="10"/>
        <v>#REF!</v>
      </c>
      <c r="O19" s="229" t="e">
        <f t="shared" si="10"/>
        <v>#REF!</v>
      </c>
      <c r="P19" s="229" t="e">
        <f t="shared" si="10"/>
        <v>#REF!</v>
      </c>
      <c r="Q19" s="229" t="e">
        <f t="shared" si="10"/>
        <v>#REF!</v>
      </c>
      <c r="R19" s="229" t="e">
        <f t="shared" si="10"/>
        <v>#REF!</v>
      </c>
      <c r="S19" s="229" t="e">
        <f t="shared" si="10"/>
        <v>#REF!</v>
      </c>
      <c r="T19" s="229" t="e">
        <f t="shared" si="10"/>
        <v>#REF!</v>
      </c>
      <c r="U19" s="229" t="e">
        <f t="shared" si="10"/>
        <v>#REF!</v>
      </c>
      <c r="V19" s="229" t="e">
        <f t="shared" si="10"/>
        <v>#REF!</v>
      </c>
      <c r="W19" s="229" t="e">
        <f t="shared" si="10"/>
        <v>#REF!</v>
      </c>
      <c r="X19" s="229" t="e">
        <f t="shared" si="10"/>
        <v>#REF!</v>
      </c>
      <c r="Y19" s="364" t="e">
        <f>IF($C$15="N/A","N/A",SUM(C19:X19))</f>
        <v>#REF!</v>
      </c>
      <c r="Z19" t="s">
        <v>198</v>
      </c>
    </row>
    <row r="20" spans="1:26" x14ac:dyDescent="0.25">
      <c r="A20" s="649" t="s">
        <v>191</v>
      </c>
      <c r="B20" s="538" t="s">
        <v>188</v>
      </c>
      <c r="C20" s="646" t="e">
        <f>('Capital Cost'!D10-Summary!#REF!)</f>
        <v>#REF!</v>
      </c>
      <c r="D20" s="102" t="s">
        <v>200</v>
      </c>
      <c r="E20" s="230" t="e">
        <f>(#REF!)</f>
        <v>#REF!</v>
      </c>
      <c r="F20" s="231" t="e">
        <f t="shared" ref="F20:X20" si="11">E20*(1+$B$3)</f>
        <v>#REF!</v>
      </c>
      <c r="G20" s="231" t="e">
        <f t="shared" si="11"/>
        <v>#REF!</v>
      </c>
      <c r="H20" s="231" t="e">
        <f t="shared" si="11"/>
        <v>#REF!</v>
      </c>
      <c r="I20" s="231" t="e">
        <f t="shared" si="11"/>
        <v>#REF!</v>
      </c>
      <c r="J20" s="231" t="e">
        <f t="shared" si="11"/>
        <v>#REF!</v>
      </c>
      <c r="K20" s="231" t="e">
        <f t="shared" si="11"/>
        <v>#REF!</v>
      </c>
      <c r="L20" s="231" t="e">
        <f t="shared" si="11"/>
        <v>#REF!</v>
      </c>
      <c r="M20" s="231" t="e">
        <f t="shared" si="11"/>
        <v>#REF!</v>
      </c>
      <c r="N20" s="231" t="e">
        <f t="shared" si="11"/>
        <v>#REF!</v>
      </c>
      <c r="O20" s="231" t="e">
        <f t="shared" si="11"/>
        <v>#REF!</v>
      </c>
      <c r="P20" s="231" t="e">
        <f t="shared" si="11"/>
        <v>#REF!</v>
      </c>
      <c r="Q20" s="231" t="e">
        <f t="shared" si="11"/>
        <v>#REF!</v>
      </c>
      <c r="R20" s="231" t="e">
        <f t="shared" si="11"/>
        <v>#REF!</v>
      </c>
      <c r="S20" s="231" t="e">
        <f t="shared" si="11"/>
        <v>#REF!</v>
      </c>
      <c r="T20" s="231" t="e">
        <f t="shared" si="11"/>
        <v>#REF!</v>
      </c>
      <c r="U20" s="231" t="e">
        <f t="shared" si="11"/>
        <v>#REF!</v>
      </c>
      <c r="V20" s="231" t="e">
        <f t="shared" si="11"/>
        <v>#REF!</v>
      </c>
      <c r="W20" s="231" t="e">
        <f t="shared" si="11"/>
        <v>#REF!</v>
      </c>
      <c r="X20" s="231" t="e">
        <f t="shared" si="11"/>
        <v>#REF!</v>
      </c>
      <c r="Y20" s="232" t="e">
        <f>SUM(E20:X20)</f>
        <v>#REF!</v>
      </c>
    </row>
    <row r="21" spans="1:26" x14ac:dyDescent="0.25">
      <c r="A21" s="649"/>
      <c r="B21" s="538"/>
      <c r="C21" s="646"/>
      <c r="D21" s="58" t="s">
        <v>201</v>
      </c>
      <c r="E21" s="233">
        <f>'Annual Maintenance Cost'!D7</f>
        <v>1220</v>
      </c>
      <c r="F21" s="217">
        <f t="shared" ref="F21:X21" si="12">E21*(1+$B$4)</f>
        <v>1256.6000000000001</v>
      </c>
      <c r="G21" s="217">
        <f t="shared" si="12"/>
        <v>1294.2980000000002</v>
      </c>
      <c r="H21" s="217">
        <f t="shared" si="12"/>
        <v>1333.1269400000003</v>
      </c>
      <c r="I21" s="217">
        <f t="shared" si="12"/>
        <v>1373.1207482000004</v>
      </c>
      <c r="J21" s="217">
        <f t="shared" si="12"/>
        <v>1414.3143706460005</v>
      </c>
      <c r="K21" s="217">
        <f t="shared" si="12"/>
        <v>1456.7438017653806</v>
      </c>
      <c r="L21" s="217">
        <f t="shared" si="12"/>
        <v>1500.4461158183419</v>
      </c>
      <c r="M21" s="217">
        <f t="shared" si="12"/>
        <v>1545.4594992928921</v>
      </c>
      <c r="N21" s="217">
        <f t="shared" si="12"/>
        <v>1591.8232842716789</v>
      </c>
      <c r="O21" s="217">
        <f t="shared" si="12"/>
        <v>1639.5779827998292</v>
      </c>
      <c r="P21" s="217">
        <f t="shared" si="12"/>
        <v>1688.7653222838242</v>
      </c>
      <c r="Q21" s="217">
        <f t="shared" si="12"/>
        <v>1739.4282819523389</v>
      </c>
      <c r="R21" s="217">
        <f t="shared" si="12"/>
        <v>1791.611130410909</v>
      </c>
      <c r="S21" s="217">
        <f t="shared" si="12"/>
        <v>1845.3594643232364</v>
      </c>
      <c r="T21" s="217">
        <f t="shared" si="12"/>
        <v>1900.7202482529335</v>
      </c>
      <c r="U21" s="217">
        <f t="shared" si="12"/>
        <v>1957.7418557005217</v>
      </c>
      <c r="V21" s="217">
        <f t="shared" si="12"/>
        <v>2016.4741113715374</v>
      </c>
      <c r="W21" s="217">
        <f t="shared" si="12"/>
        <v>2076.9683347126838</v>
      </c>
      <c r="X21" s="217">
        <f t="shared" si="12"/>
        <v>2139.2773847540643</v>
      </c>
      <c r="Y21" s="220">
        <f>SUM(E21:X21)</f>
        <v>32781.856876556172</v>
      </c>
    </row>
    <row r="22" spans="1:26" x14ac:dyDescent="0.25">
      <c r="A22" s="649"/>
      <c r="B22" s="538"/>
      <c r="C22" s="646"/>
      <c r="D22" s="58" t="s">
        <v>202</v>
      </c>
      <c r="E22" s="217" t="e">
        <f>'Carbon Cost'!#REF!</f>
        <v>#REF!</v>
      </c>
      <c r="F22" s="217" t="e">
        <f t="shared" ref="F22:X22" si="13">E22*(1+$B$5)</f>
        <v>#REF!</v>
      </c>
      <c r="G22" s="217" t="e">
        <f t="shared" si="13"/>
        <v>#REF!</v>
      </c>
      <c r="H22" s="217" t="e">
        <f t="shared" si="13"/>
        <v>#REF!</v>
      </c>
      <c r="I22" s="217" t="e">
        <f t="shared" si="13"/>
        <v>#REF!</v>
      </c>
      <c r="J22" s="217" t="e">
        <f t="shared" si="13"/>
        <v>#REF!</v>
      </c>
      <c r="K22" s="217" t="e">
        <f t="shared" si="13"/>
        <v>#REF!</v>
      </c>
      <c r="L22" s="217" t="e">
        <f t="shared" si="13"/>
        <v>#REF!</v>
      </c>
      <c r="M22" s="217" t="e">
        <f t="shared" si="13"/>
        <v>#REF!</v>
      </c>
      <c r="N22" s="217" t="e">
        <f t="shared" si="13"/>
        <v>#REF!</v>
      </c>
      <c r="O22" s="217" t="e">
        <f t="shared" si="13"/>
        <v>#REF!</v>
      </c>
      <c r="P22" s="217" t="e">
        <f t="shared" si="13"/>
        <v>#REF!</v>
      </c>
      <c r="Q22" s="217" t="e">
        <f t="shared" si="13"/>
        <v>#REF!</v>
      </c>
      <c r="R22" s="217" t="e">
        <f t="shared" si="13"/>
        <v>#REF!</v>
      </c>
      <c r="S22" s="217" t="e">
        <f t="shared" si="13"/>
        <v>#REF!</v>
      </c>
      <c r="T22" s="217" t="e">
        <f t="shared" si="13"/>
        <v>#REF!</v>
      </c>
      <c r="U22" s="217" t="e">
        <f t="shared" si="13"/>
        <v>#REF!</v>
      </c>
      <c r="V22" s="217" t="e">
        <f t="shared" si="13"/>
        <v>#REF!</v>
      </c>
      <c r="W22" s="217" t="e">
        <f t="shared" si="13"/>
        <v>#REF!</v>
      </c>
      <c r="X22" s="217" t="e">
        <f t="shared" si="13"/>
        <v>#REF!</v>
      </c>
      <c r="Y22" s="232" t="e">
        <f>SUM(E22:X22)</f>
        <v>#REF!</v>
      </c>
    </row>
    <row r="23" spans="1:26" x14ac:dyDescent="0.25">
      <c r="A23" s="649"/>
      <c r="B23" s="539"/>
      <c r="C23" s="647"/>
      <c r="D23" s="58" t="s">
        <v>203</v>
      </c>
      <c r="E23" s="217" t="e">
        <f>SUM(E20:E22)</f>
        <v>#REF!</v>
      </c>
      <c r="F23" s="217" t="e">
        <f t="shared" ref="F23:X23" si="14">SUM(F20:F22)</f>
        <v>#REF!</v>
      </c>
      <c r="G23" s="217" t="e">
        <f t="shared" si="14"/>
        <v>#REF!</v>
      </c>
      <c r="H23" s="217" t="e">
        <f t="shared" si="14"/>
        <v>#REF!</v>
      </c>
      <c r="I23" s="217" t="e">
        <f t="shared" si="14"/>
        <v>#REF!</v>
      </c>
      <c r="J23" s="217" t="e">
        <f t="shared" si="14"/>
        <v>#REF!</v>
      </c>
      <c r="K23" s="217" t="e">
        <f t="shared" si="14"/>
        <v>#REF!</v>
      </c>
      <c r="L23" s="217" t="e">
        <f t="shared" si="14"/>
        <v>#REF!</v>
      </c>
      <c r="M23" s="217" t="e">
        <f t="shared" si="14"/>
        <v>#REF!</v>
      </c>
      <c r="N23" s="217" t="e">
        <f t="shared" si="14"/>
        <v>#REF!</v>
      </c>
      <c r="O23" s="217" t="e">
        <f t="shared" si="14"/>
        <v>#REF!</v>
      </c>
      <c r="P23" s="217" t="e">
        <f t="shared" si="14"/>
        <v>#REF!</v>
      </c>
      <c r="Q23" s="217" t="e">
        <f t="shared" si="14"/>
        <v>#REF!</v>
      </c>
      <c r="R23" s="217" t="e">
        <f t="shared" si="14"/>
        <v>#REF!</v>
      </c>
      <c r="S23" s="217" t="e">
        <f t="shared" si="14"/>
        <v>#REF!</v>
      </c>
      <c r="T23" s="217" t="e">
        <f t="shared" si="14"/>
        <v>#REF!</v>
      </c>
      <c r="U23" s="217" t="e">
        <f t="shared" si="14"/>
        <v>#REF!</v>
      </c>
      <c r="V23" s="217" t="e">
        <f t="shared" si="14"/>
        <v>#REF!</v>
      </c>
      <c r="W23" s="217" t="e">
        <f t="shared" si="14"/>
        <v>#REF!</v>
      </c>
      <c r="X23" s="217" t="e">
        <f t="shared" si="14"/>
        <v>#REF!</v>
      </c>
      <c r="Y23" s="220" t="e">
        <f>SUM(C23:X23)</f>
        <v>#REF!</v>
      </c>
    </row>
    <row r="24" spans="1:26" ht="15.75" thickBot="1" x14ac:dyDescent="0.3">
      <c r="A24" s="650"/>
      <c r="B24" s="101" t="s">
        <v>189</v>
      </c>
      <c r="C24" s="229" t="e">
        <f>C20</f>
        <v>#REF!</v>
      </c>
      <c r="D24" s="101" t="s">
        <v>189</v>
      </c>
      <c r="E24" s="228" t="e">
        <f>-PV($B$2,E$8,0,E23,0)</f>
        <v>#REF!</v>
      </c>
      <c r="F24" s="228" t="e">
        <f t="shared" ref="F24:X24" si="15">-PV($B$2,F$8,0,F23,0)</f>
        <v>#REF!</v>
      </c>
      <c r="G24" s="228" t="e">
        <f t="shared" si="15"/>
        <v>#REF!</v>
      </c>
      <c r="H24" s="228" t="e">
        <f t="shared" si="15"/>
        <v>#REF!</v>
      </c>
      <c r="I24" s="228" t="e">
        <f t="shared" si="15"/>
        <v>#REF!</v>
      </c>
      <c r="J24" s="228" t="e">
        <f t="shared" si="15"/>
        <v>#REF!</v>
      </c>
      <c r="K24" s="228" t="e">
        <f t="shared" si="15"/>
        <v>#REF!</v>
      </c>
      <c r="L24" s="228" t="e">
        <f t="shared" si="15"/>
        <v>#REF!</v>
      </c>
      <c r="M24" s="228" t="e">
        <f t="shared" si="15"/>
        <v>#REF!</v>
      </c>
      <c r="N24" s="228" t="e">
        <f t="shared" si="15"/>
        <v>#REF!</v>
      </c>
      <c r="O24" s="228" t="e">
        <f t="shared" si="15"/>
        <v>#REF!</v>
      </c>
      <c r="P24" s="228" t="e">
        <f t="shared" si="15"/>
        <v>#REF!</v>
      </c>
      <c r="Q24" s="228" t="e">
        <f t="shared" si="15"/>
        <v>#REF!</v>
      </c>
      <c r="R24" s="228" t="e">
        <f t="shared" si="15"/>
        <v>#REF!</v>
      </c>
      <c r="S24" s="228" t="e">
        <f t="shared" si="15"/>
        <v>#REF!</v>
      </c>
      <c r="T24" s="228" t="e">
        <f t="shared" si="15"/>
        <v>#REF!</v>
      </c>
      <c r="U24" s="228" t="e">
        <f t="shared" si="15"/>
        <v>#REF!</v>
      </c>
      <c r="V24" s="228" t="e">
        <f t="shared" si="15"/>
        <v>#REF!</v>
      </c>
      <c r="W24" s="228" t="e">
        <f t="shared" si="15"/>
        <v>#REF!</v>
      </c>
      <c r="X24" s="228" t="e">
        <f t="shared" si="15"/>
        <v>#REF!</v>
      </c>
      <c r="Y24" s="234" t="e">
        <f>SUM(C24:X24)</f>
        <v>#REF!</v>
      </c>
      <c r="Z24" t="s">
        <v>198</v>
      </c>
    </row>
    <row r="25" spans="1:26" ht="15" customHeight="1" x14ac:dyDescent="0.25">
      <c r="A25" s="651" t="s">
        <v>196</v>
      </c>
      <c r="B25" s="648" t="s">
        <v>188</v>
      </c>
      <c r="C25" s="645" t="e">
        <f>('Capital Cost'!E10-Summary!#REF!)</f>
        <v>#REF!</v>
      </c>
      <c r="D25" s="62" t="s">
        <v>200</v>
      </c>
      <c r="E25" s="236" t="e">
        <f>(#REF!)</f>
        <v>#REF!</v>
      </c>
      <c r="F25" s="236" t="e">
        <f t="shared" ref="F25:X25" si="16">E25*(1+$B$3)</f>
        <v>#REF!</v>
      </c>
      <c r="G25" s="236" t="e">
        <f t="shared" si="16"/>
        <v>#REF!</v>
      </c>
      <c r="H25" s="236" t="e">
        <f t="shared" si="16"/>
        <v>#REF!</v>
      </c>
      <c r="I25" s="236" t="e">
        <f t="shared" si="16"/>
        <v>#REF!</v>
      </c>
      <c r="J25" s="236" t="e">
        <f t="shared" si="16"/>
        <v>#REF!</v>
      </c>
      <c r="K25" s="236" t="e">
        <f t="shared" si="16"/>
        <v>#REF!</v>
      </c>
      <c r="L25" s="236" t="e">
        <f t="shared" si="16"/>
        <v>#REF!</v>
      </c>
      <c r="M25" s="236" t="e">
        <f t="shared" si="16"/>
        <v>#REF!</v>
      </c>
      <c r="N25" s="236" t="e">
        <f t="shared" si="16"/>
        <v>#REF!</v>
      </c>
      <c r="O25" s="236" t="e">
        <f t="shared" si="16"/>
        <v>#REF!</v>
      </c>
      <c r="P25" s="236" t="e">
        <f t="shared" si="16"/>
        <v>#REF!</v>
      </c>
      <c r="Q25" s="236" t="e">
        <f t="shared" si="16"/>
        <v>#REF!</v>
      </c>
      <c r="R25" s="236" t="e">
        <f t="shared" si="16"/>
        <v>#REF!</v>
      </c>
      <c r="S25" s="236" t="e">
        <f t="shared" si="16"/>
        <v>#REF!</v>
      </c>
      <c r="T25" s="236" t="e">
        <f t="shared" si="16"/>
        <v>#REF!</v>
      </c>
      <c r="U25" s="236" t="e">
        <f t="shared" si="16"/>
        <v>#REF!</v>
      </c>
      <c r="V25" s="236" t="e">
        <f t="shared" si="16"/>
        <v>#REF!</v>
      </c>
      <c r="W25" s="236" t="e">
        <f t="shared" si="16"/>
        <v>#REF!</v>
      </c>
      <c r="X25" s="236" t="e">
        <f t="shared" si="16"/>
        <v>#REF!</v>
      </c>
      <c r="Y25" s="237" t="e">
        <f>SUM(E25:X25)</f>
        <v>#REF!</v>
      </c>
    </row>
    <row r="26" spans="1:26" x14ac:dyDescent="0.25">
      <c r="A26" s="649"/>
      <c r="B26" s="538"/>
      <c r="C26" s="646"/>
      <c r="D26" s="58" t="s">
        <v>201</v>
      </c>
      <c r="E26" s="217">
        <f>'Annual Maintenance Cost'!E7</f>
        <v>24400</v>
      </c>
      <c r="F26" s="217">
        <f t="shared" ref="F26:X26" si="17">E26*(1+$B$4)</f>
        <v>25132</v>
      </c>
      <c r="G26" s="217">
        <f t="shared" si="17"/>
        <v>25885.96</v>
      </c>
      <c r="H26" s="217">
        <f t="shared" si="17"/>
        <v>26662.538799999998</v>
      </c>
      <c r="I26" s="217">
        <f t="shared" si="17"/>
        <v>27462.414964</v>
      </c>
      <c r="J26" s="217">
        <f t="shared" si="17"/>
        <v>28286.287412919999</v>
      </c>
      <c r="K26" s="217">
        <f t="shared" si="17"/>
        <v>29134.8760353076</v>
      </c>
      <c r="L26" s="217">
        <f t="shared" si="17"/>
        <v>30008.922316366828</v>
      </c>
      <c r="M26" s="217">
        <f t="shared" si="17"/>
        <v>30909.189985857833</v>
      </c>
      <c r="N26" s="217">
        <f t="shared" si="17"/>
        <v>31836.46568543357</v>
      </c>
      <c r="O26" s="217">
        <f t="shared" si="17"/>
        <v>32791.559655996578</v>
      </c>
      <c r="P26" s="217">
        <f t="shared" si="17"/>
        <v>33775.306445676477</v>
      </c>
      <c r="Q26" s="217">
        <f t="shared" si="17"/>
        <v>34788.56563904677</v>
      </c>
      <c r="R26" s="217">
        <f t="shared" si="17"/>
        <v>35832.222608218173</v>
      </c>
      <c r="S26" s="217">
        <f t="shared" si="17"/>
        <v>36907.189286464716</v>
      </c>
      <c r="T26" s="217">
        <f t="shared" si="17"/>
        <v>38014.40496505866</v>
      </c>
      <c r="U26" s="217">
        <f t="shared" si="17"/>
        <v>39154.837114010421</v>
      </c>
      <c r="V26" s="217">
        <f t="shared" si="17"/>
        <v>40329.482227430737</v>
      </c>
      <c r="W26" s="217">
        <f t="shared" si="17"/>
        <v>41539.366694253658</v>
      </c>
      <c r="X26" s="217">
        <f t="shared" si="17"/>
        <v>42785.547695081266</v>
      </c>
      <c r="Y26" s="220">
        <f>SUM(E26:X26)</f>
        <v>655637.13753112336</v>
      </c>
    </row>
    <row r="27" spans="1:26" x14ac:dyDescent="0.25">
      <c r="A27" s="649"/>
      <c r="B27" s="538"/>
      <c r="C27" s="646"/>
      <c r="D27" s="58" t="s">
        <v>202</v>
      </c>
      <c r="E27" s="217" t="e">
        <f>'Carbon Cost'!#REF!</f>
        <v>#REF!</v>
      </c>
      <c r="F27" s="217" t="e">
        <f t="shared" ref="F27:X27" si="18">E27*(1+$B$5)</f>
        <v>#REF!</v>
      </c>
      <c r="G27" s="217" t="e">
        <f t="shared" si="18"/>
        <v>#REF!</v>
      </c>
      <c r="H27" s="217" t="e">
        <f t="shared" si="18"/>
        <v>#REF!</v>
      </c>
      <c r="I27" s="217" t="e">
        <f t="shared" si="18"/>
        <v>#REF!</v>
      </c>
      <c r="J27" s="217" t="e">
        <f t="shared" si="18"/>
        <v>#REF!</v>
      </c>
      <c r="K27" s="217" t="e">
        <f t="shared" si="18"/>
        <v>#REF!</v>
      </c>
      <c r="L27" s="217" t="e">
        <f t="shared" si="18"/>
        <v>#REF!</v>
      </c>
      <c r="M27" s="217" t="e">
        <f t="shared" si="18"/>
        <v>#REF!</v>
      </c>
      <c r="N27" s="217" t="e">
        <f t="shared" si="18"/>
        <v>#REF!</v>
      </c>
      <c r="O27" s="217" t="e">
        <f t="shared" si="18"/>
        <v>#REF!</v>
      </c>
      <c r="P27" s="217" t="e">
        <f t="shared" si="18"/>
        <v>#REF!</v>
      </c>
      <c r="Q27" s="217" t="e">
        <f t="shared" si="18"/>
        <v>#REF!</v>
      </c>
      <c r="R27" s="217" t="e">
        <f t="shared" si="18"/>
        <v>#REF!</v>
      </c>
      <c r="S27" s="217" t="e">
        <f t="shared" si="18"/>
        <v>#REF!</v>
      </c>
      <c r="T27" s="217" t="e">
        <f t="shared" si="18"/>
        <v>#REF!</v>
      </c>
      <c r="U27" s="217" t="e">
        <f t="shared" si="18"/>
        <v>#REF!</v>
      </c>
      <c r="V27" s="217" t="e">
        <f t="shared" si="18"/>
        <v>#REF!</v>
      </c>
      <c r="W27" s="217" t="e">
        <f t="shared" si="18"/>
        <v>#REF!</v>
      </c>
      <c r="X27" s="217" t="e">
        <f t="shared" si="18"/>
        <v>#REF!</v>
      </c>
      <c r="Y27" s="232" t="e">
        <f>SUM(E27:X27)</f>
        <v>#REF!</v>
      </c>
    </row>
    <row r="28" spans="1:26" x14ac:dyDescent="0.25">
      <c r="A28" s="649"/>
      <c r="B28" s="539"/>
      <c r="C28" s="647"/>
      <c r="D28" s="58" t="s">
        <v>203</v>
      </c>
      <c r="E28" s="217" t="e">
        <f t="shared" ref="E28:X28" si="19">SUM(E25:E27)</f>
        <v>#REF!</v>
      </c>
      <c r="F28" s="217" t="e">
        <f t="shared" si="19"/>
        <v>#REF!</v>
      </c>
      <c r="G28" s="217" t="e">
        <f t="shared" si="19"/>
        <v>#REF!</v>
      </c>
      <c r="H28" s="217" t="e">
        <f t="shared" si="19"/>
        <v>#REF!</v>
      </c>
      <c r="I28" s="217" t="e">
        <f t="shared" si="19"/>
        <v>#REF!</v>
      </c>
      <c r="J28" s="217" t="e">
        <f t="shared" si="19"/>
        <v>#REF!</v>
      </c>
      <c r="K28" s="217" t="e">
        <f t="shared" si="19"/>
        <v>#REF!</v>
      </c>
      <c r="L28" s="217" t="e">
        <f t="shared" si="19"/>
        <v>#REF!</v>
      </c>
      <c r="M28" s="217" t="e">
        <f t="shared" si="19"/>
        <v>#REF!</v>
      </c>
      <c r="N28" s="217" t="e">
        <f t="shared" si="19"/>
        <v>#REF!</v>
      </c>
      <c r="O28" s="217" t="e">
        <f t="shared" si="19"/>
        <v>#REF!</v>
      </c>
      <c r="P28" s="217" t="e">
        <f t="shared" si="19"/>
        <v>#REF!</v>
      </c>
      <c r="Q28" s="217" t="e">
        <f t="shared" si="19"/>
        <v>#REF!</v>
      </c>
      <c r="R28" s="217" t="e">
        <f t="shared" si="19"/>
        <v>#REF!</v>
      </c>
      <c r="S28" s="217" t="e">
        <f t="shared" si="19"/>
        <v>#REF!</v>
      </c>
      <c r="T28" s="217" t="e">
        <f t="shared" si="19"/>
        <v>#REF!</v>
      </c>
      <c r="U28" s="217" t="e">
        <f t="shared" si="19"/>
        <v>#REF!</v>
      </c>
      <c r="V28" s="217" t="e">
        <f t="shared" si="19"/>
        <v>#REF!</v>
      </c>
      <c r="W28" s="217" t="e">
        <f t="shared" si="19"/>
        <v>#REF!</v>
      </c>
      <c r="X28" s="217" t="e">
        <f t="shared" si="19"/>
        <v>#REF!</v>
      </c>
      <c r="Y28" s="220" t="e">
        <f>SUM(C28:X28)</f>
        <v>#REF!</v>
      </c>
    </row>
    <row r="29" spans="1:26" ht="15.75" thickBot="1" x14ac:dyDescent="0.3">
      <c r="A29" s="650"/>
      <c r="B29" s="101" t="s">
        <v>189</v>
      </c>
      <c r="C29" s="229" t="e">
        <f>C25</f>
        <v>#REF!</v>
      </c>
      <c r="D29" s="101" t="s">
        <v>189</v>
      </c>
      <c r="E29" s="228" t="e">
        <f t="shared" ref="E29:X29" si="20">-PV($B$2,E$8,0,E28,0)</f>
        <v>#REF!</v>
      </c>
      <c r="F29" s="228" t="e">
        <f t="shared" si="20"/>
        <v>#REF!</v>
      </c>
      <c r="G29" s="228" t="e">
        <f t="shared" si="20"/>
        <v>#REF!</v>
      </c>
      <c r="H29" s="228" t="e">
        <f t="shared" si="20"/>
        <v>#REF!</v>
      </c>
      <c r="I29" s="228" t="e">
        <f t="shared" si="20"/>
        <v>#REF!</v>
      </c>
      <c r="J29" s="228" t="e">
        <f t="shared" si="20"/>
        <v>#REF!</v>
      </c>
      <c r="K29" s="228" t="e">
        <f t="shared" si="20"/>
        <v>#REF!</v>
      </c>
      <c r="L29" s="228" t="e">
        <f t="shared" si="20"/>
        <v>#REF!</v>
      </c>
      <c r="M29" s="228" t="e">
        <f t="shared" si="20"/>
        <v>#REF!</v>
      </c>
      <c r="N29" s="228" t="e">
        <f t="shared" si="20"/>
        <v>#REF!</v>
      </c>
      <c r="O29" s="228" t="e">
        <f t="shared" si="20"/>
        <v>#REF!</v>
      </c>
      <c r="P29" s="228" t="e">
        <f t="shared" si="20"/>
        <v>#REF!</v>
      </c>
      <c r="Q29" s="228" t="e">
        <f t="shared" si="20"/>
        <v>#REF!</v>
      </c>
      <c r="R29" s="228" t="e">
        <f t="shared" si="20"/>
        <v>#REF!</v>
      </c>
      <c r="S29" s="228" t="e">
        <f t="shared" si="20"/>
        <v>#REF!</v>
      </c>
      <c r="T29" s="228" t="e">
        <f t="shared" si="20"/>
        <v>#REF!</v>
      </c>
      <c r="U29" s="228" t="e">
        <f t="shared" si="20"/>
        <v>#REF!</v>
      </c>
      <c r="V29" s="228" t="e">
        <f t="shared" si="20"/>
        <v>#REF!</v>
      </c>
      <c r="W29" s="228" t="e">
        <f t="shared" si="20"/>
        <v>#REF!</v>
      </c>
      <c r="X29" s="228" t="e">
        <f t="shared" si="20"/>
        <v>#REF!</v>
      </c>
      <c r="Y29" s="234" t="e">
        <f>SUM(C29:X29)</f>
        <v>#REF!</v>
      </c>
      <c r="Z29" t="s">
        <v>198</v>
      </c>
    </row>
    <row r="30" spans="1:26" x14ac:dyDescent="0.25">
      <c r="A30" s="651" t="s">
        <v>197</v>
      </c>
      <c r="B30" s="648" t="s">
        <v>188</v>
      </c>
      <c r="C30" s="645" t="e">
        <f>('Capital Cost'!F10-Summary!#REF!)</f>
        <v>#REF!</v>
      </c>
      <c r="D30" s="62" t="s">
        <v>200</v>
      </c>
      <c r="E30" s="236" t="e">
        <f>#REF!</f>
        <v>#REF!</v>
      </c>
      <c r="F30" s="236" t="e">
        <f t="shared" ref="F30:X30" si="21">E30*(1+$B$3)</f>
        <v>#REF!</v>
      </c>
      <c r="G30" s="236" t="e">
        <f t="shared" si="21"/>
        <v>#REF!</v>
      </c>
      <c r="H30" s="236" t="e">
        <f t="shared" si="21"/>
        <v>#REF!</v>
      </c>
      <c r="I30" s="236" t="e">
        <f t="shared" si="21"/>
        <v>#REF!</v>
      </c>
      <c r="J30" s="236" t="e">
        <f t="shared" si="21"/>
        <v>#REF!</v>
      </c>
      <c r="K30" s="236" t="e">
        <f t="shared" si="21"/>
        <v>#REF!</v>
      </c>
      <c r="L30" s="236" t="e">
        <f t="shared" si="21"/>
        <v>#REF!</v>
      </c>
      <c r="M30" s="236" t="e">
        <f t="shared" si="21"/>
        <v>#REF!</v>
      </c>
      <c r="N30" s="236" t="e">
        <f t="shared" si="21"/>
        <v>#REF!</v>
      </c>
      <c r="O30" s="236" t="e">
        <f t="shared" si="21"/>
        <v>#REF!</v>
      </c>
      <c r="P30" s="236" t="e">
        <f t="shared" si="21"/>
        <v>#REF!</v>
      </c>
      <c r="Q30" s="236" t="e">
        <f t="shared" si="21"/>
        <v>#REF!</v>
      </c>
      <c r="R30" s="236" t="e">
        <f t="shared" si="21"/>
        <v>#REF!</v>
      </c>
      <c r="S30" s="236" t="e">
        <f t="shared" si="21"/>
        <v>#REF!</v>
      </c>
      <c r="T30" s="236" t="e">
        <f t="shared" si="21"/>
        <v>#REF!</v>
      </c>
      <c r="U30" s="236" t="e">
        <f t="shared" si="21"/>
        <v>#REF!</v>
      </c>
      <c r="V30" s="236" t="e">
        <f t="shared" si="21"/>
        <v>#REF!</v>
      </c>
      <c r="W30" s="236" t="e">
        <f t="shared" si="21"/>
        <v>#REF!</v>
      </c>
      <c r="X30" s="236" t="e">
        <f t="shared" si="21"/>
        <v>#REF!</v>
      </c>
      <c r="Y30" s="237" t="e">
        <f>SUM(E30:X30)</f>
        <v>#REF!</v>
      </c>
    </row>
    <row r="31" spans="1:26" x14ac:dyDescent="0.25">
      <c r="A31" s="649"/>
      <c r="B31" s="538"/>
      <c r="C31" s="646"/>
      <c r="D31" s="58" t="s">
        <v>201</v>
      </c>
      <c r="E31" s="217">
        <f>'Annual Maintenance Cost'!F7</f>
        <v>24400</v>
      </c>
      <c r="F31" s="217">
        <f t="shared" ref="F31:X31" si="22">E31*(1+$B$4)</f>
        <v>25132</v>
      </c>
      <c r="G31" s="217">
        <f t="shared" si="22"/>
        <v>25885.96</v>
      </c>
      <c r="H31" s="217">
        <f t="shared" si="22"/>
        <v>26662.538799999998</v>
      </c>
      <c r="I31" s="217">
        <f t="shared" si="22"/>
        <v>27462.414964</v>
      </c>
      <c r="J31" s="217">
        <f t="shared" si="22"/>
        <v>28286.287412919999</v>
      </c>
      <c r="K31" s="217">
        <f t="shared" si="22"/>
        <v>29134.8760353076</v>
      </c>
      <c r="L31" s="217">
        <f t="shared" si="22"/>
        <v>30008.922316366828</v>
      </c>
      <c r="M31" s="217">
        <f t="shared" si="22"/>
        <v>30909.189985857833</v>
      </c>
      <c r="N31" s="217">
        <f t="shared" si="22"/>
        <v>31836.46568543357</v>
      </c>
      <c r="O31" s="217">
        <f t="shared" si="22"/>
        <v>32791.559655996578</v>
      </c>
      <c r="P31" s="217">
        <f t="shared" si="22"/>
        <v>33775.306445676477</v>
      </c>
      <c r="Q31" s="217">
        <f t="shared" si="22"/>
        <v>34788.56563904677</v>
      </c>
      <c r="R31" s="217">
        <f t="shared" si="22"/>
        <v>35832.222608218173</v>
      </c>
      <c r="S31" s="217">
        <f t="shared" si="22"/>
        <v>36907.189286464716</v>
      </c>
      <c r="T31" s="217">
        <f t="shared" si="22"/>
        <v>38014.40496505866</v>
      </c>
      <c r="U31" s="217">
        <f t="shared" si="22"/>
        <v>39154.837114010421</v>
      </c>
      <c r="V31" s="217">
        <f t="shared" si="22"/>
        <v>40329.482227430737</v>
      </c>
      <c r="W31" s="217">
        <f t="shared" si="22"/>
        <v>41539.366694253658</v>
      </c>
      <c r="X31" s="217">
        <f t="shared" si="22"/>
        <v>42785.547695081266</v>
      </c>
      <c r="Y31" s="220">
        <f>SUM(E31:X31)</f>
        <v>655637.13753112336</v>
      </c>
    </row>
    <row r="32" spans="1:26" x14ac:dyDescent="0.25">
      <c r="A32" s="649"/>
      <c r="B32" s="538"/>
      <c r="C32" s="646"/>
      <c r="D32" s="58" t="s">
        <v>202</v>
      </c>
      <c r="E32" s="217" t="e">
        <f>'Carbon Cost'!#REF!</f>
        <v>#REF!</v>
      </c>
      <c r="F32" s="217" t="e">
        <f t="shared" ref="F32:X32" si="23">E32*(1+$B$5)</f>
        <v>#REF!</v>
      </c>
      <c r="G32" s="217" t="e">
        <f t="shared" si="23"/>
        <v>#REF!</v>
      </c>
      <c r="H32" s="217" t="e">
        <f t="shared" si="23"/>
        <v>#REF!</v>
      </c>
      <c r="I32" s="217" t="e">
        <f t="shared" si="23"/>
        <v>#REF!</v>
      </c>
      <c r="J32" s="217" t="e">
        <f t="shared" si="23"/>
        <v>#REF!</v>
      </c>
      <c r="K32" s="217" t="e">
        <f t="shared" si="23"/>
        <v>#REF!</v>
      </c>
      <c r="L32" s="217" t="e">
        <f t="shared" si="23"/>
        <v>#REF!</v>
      </c>
      <c r="M32" s="217" t="e">
        <f t="shared" si="23"/>
        <v>#REF!</v>
      </c>
      <c r="N32" s="217" t="e">
        <f t="shared" si="23"/>
        <v>#REF!</v>
      </c>
      <c r="O32" s="217" t="e">
        <f t="shared" si="23"/>
        <v>#REF!</v>
      </c>
      <c r="P32" s="217" t="e">
        <f t="shared" si="23"/>
        <v>#REF!</v>
      </c>
      <c r="Q32" s="217" t="e">
        <f t="shared" si="23"/>
        <v>#REF!</v>
      </c>
      <c r="R32" s="217" t="e">
        <f t="shared" si="23"/>
        <v>#REF!</v>
      </c>
      <c r="S32" s="217" t="e">
        <f t="shared" si="23"/>
        <v>#REF!</v>
      </c>
      <c r="T32" s="217" t="e">
        <f t="shared" si="23"/>
        <v>#REF!</v>
      </c>
      <c r="U32" s="217" t="e">
        <f t="shared" si="23"/>
        <v>#REF!</v>
      </c>
      <c r="V32" s="217" t="e">
        <f t="shared" si="23"/>
        <v>#REF!</v>
      </c>
      <c r="W32" s="217" t="e">
        <f t="shared" si="23"/>
        <v>#REF!</v>
      </c>
      <c r="X32" s="217" t="e">
        <f t="shared" si="23"/>
        <v>#REF!</v>
      </c>
      <c r="Y32" s="232" t="e">
        <f>SUM(E32:X32)</f>
        <v>#REF!</v>
      </c>
    </row>
    <row r="33" spans="1:26" x14ac:dyDescent="0.25">
      <c r="A33" s="649"/>
      <c r="B33" s="539"/>
      <c r="C33" s="647"/>
      <c r="D33" s="58" t="s">
        <v>203</v>
      </c>
      <c r="E33" s="217" t="e">
        <f t="shared" ref="E33:X33" si="24">SUM(E30:E32)</f>
        <v>#REF!</v>
      </c>
      <c r="F33" s="217" t="e">
        <f t="shared" si="24"/>
        <v>#REF!</v>
      </c>
      <c r="G33" s="217" t="e">
        <f t="shared" si="24"/>
        <v>#REF!</v>
      </c>
      <c r="H33" s="217" t="e">
        <f t="shared" si="24"/>
        <v>#REF!</v>
      </c>
      <c r="I33" s="217" t="e">
        <f t="shared" si="24"/>
        <v>#REF!</v>
      </c>
      <c r="J33" s="217" t="e">
        <f t="shared" si="24"/>
        <v>#REF!</v>
      </c>
      <c r="K33" s="217" t="e">
        <f t="shared" si="24"/>
        <v>#REF!</v>
      </c>
      <c r="L33" s="217" t="e">
        <f t="shared" si="24"/>
        <v>#REF!</v>
      </c>
      <c r="M33" s="217" t="e">
        <f t="shared" si="24"/>
        <v>#REF!</v>
      </c>
      <c r="N33" s="217" t="e">
        <f t="shared" si="24"/>
        <v>#REF!</v>
      </c>
      <c r="O33" s="217" t="e">
        <f t="shared" si="24"/>
        <v>#REF!</v>
      </c>
      <c r="P33" s="217" t="e">
        <f t="shared" si="24"/>
        <v>#REF!</v>
      </c>
      <c r="Q33" s="217" t="e">
        <f t="shared" si="24"/>
        <v>#REF!</v>
      </c>
      <c r="R33" s="217" t="e">
        <f t="shared" si="24"/>
        <v>#REF!</v>
      </c>
      <c r="S33" s="217" t="e">
        <f t="shared" si="24"/>
        <v>#REF!</v>
      </c>
      <c r="T33" s="217" t="e">
        <f t="shared" si="24"/>
        <v>#REF!</v>
      </c>
      <c r="U33" s="217" t="e">
        <f t="shared" si="24"/>
        <v>#REF!</v>
      </c>
      <c r="V33" s="217" t="e">
        <f t="shared" si="24"/>
        <v>#REF!</v>
      </c>
      <c r="W33" s="217" t="e">
        <f t="shared" si="24"/>
        <v>#REF!</v>
      </c>
      <c r="X33" s="217" t="e">
        <f t="shared" si="24"/>
        <v>#REF!</v>
      </c>
      <c r="Y33" s="220" t="e">
        <f>SUM(C33:X33)</f>
        <v>#REF!</v>
      </c>
    </row>
    <row r="34" spans="1:26" ht="15.75" thickBot="1" x14ac:dyDescent="0.3">
      <c r="A34" s="650"/>
      <c r="B34" s="101" t="s">
        <v>189</v>
      </c>
      <c r="C34" s="229" t="e">
        <f>C30</f>
        <v>#REF!</v>
      </c>
      <c r="D34" s="101" t="s">
        <v>189</v>
      </c>
      <c r="E34" s="228" t="e">
        <f t="shared" ref="E34:X34" si="25">-PV($B$2,E$8,0,E33,0)</f>
        <v>#REF!</v>
      </c>
      <c r="F34" s="228" t="e">
        <f t="shared" si="25"/>
        <v>#REF!</v>
      </c>
      <c r="G34" s="228" t="e">
        <f t="shared" si="25"/>
        <v>#REF!</v>
      </c>
      <c r="H34" s="228" t="e">
        <f t="shared" si="25"/>
        <v>#REF!</v>
      </c>
      <c r="I34" s="228" t="e">
        <f t="shared" si="25"/>
        <v>#REF!</v>
      </c>
      <c r="J34" s="316" t="e">
        <f t="shared" si="25"/>
        <v>#REF!</v>
      </c>
      <c r="K34" s="316" t="e">
        <f t="shared" si="25"/>
        <v>#REF!</v>
      </c>
      <c r="L34" s="316" t="e">
        <f t="shared" si="25"/>
        <v>#REF!</v>
      </c>
      <c r="M34" s="316" t="e">
        <f t="shared" si="25"/>
        <v>#REF!</v>
      </c>
      <c r="N34" s="316" t="e">
        <f t="shared" si="25"/>
        <v>#REF!</v>
      </c>
      <c r="O34" s="316" t="e">
        <f t="shared" si="25"/>
        <v>#REF!</v>
      </c>
      <c r="P34" s="316" t="e">
        <f t="shared" si="25"/>
        <v>#REF!</v>
      </c>
      <c r="Q34" s="316" t="e">
        <f t="shared" si="25"/>
        <v>#REF!</v>
      </c>
      <c r="R34" s="316" t="e">
        <f t="shared" si="25"/>
        <v>#REF!</v>
      </c>
      <c r="S34" s="316" t="e">
        <f t="shared" si="25"/>
        <v>#REF!</v>
      </c>
      <c r="T34" s="316" t="e">
        <f t="shared" si="25"/>
        <v>#REF!</v>
      </c>
      <c r="U34" s="228" t="e">
        <f t="shared" si="25"/>
        <v>#REF!</v>
      </c>
      <c r="V34" s="228" t="e">
        <f t="shared" si="25"/>
        <v>#REF!</v>
      </c>
      <c r="W34" s="228" t="e">
        <f t="shared" si="25"/>
        <v>#REF!</v>
      </c>
      <c r="X34" s="228" t="e">
        <f t="shared" si="25"/>
        <v>#REF!</v>
      </c>
      <c r="Y34" s="234" t="e">
        <f>SUM(C34:X34)</f>
        <v>#REF!</v>
      </c>
      <c r="Z34" t="s">
        <v>198</v>
      </c>
    </row>
    <row r="42" spans="1:26" x14ac:dyDescent="0.25">
      <c r="P42" s="1" t="s">
        <v>252</v>
      </c>
      <c r="Q42" s="1" t="s">
        <v>253</v>
      </c>
      <c r="R42" s="1" t="s">
        <v>293</v>
      </c>
      <c r="S42" s="1" t="s">
        <v>294</v>
      </c>
      <c r="T42" s="1" t="s">
        <v>295</v>
      </c>
    </row>
    <row r="43" spans="1:26" x14ac:dyDescent="0.25">
      <c r="J43" s="513" t="str">
        <f>A10</f>
        <v>SCA Standard HVAC Plant
(air-cooled chiller/HW cond. boiler)</v>
      </c>
      <c r="K43" s="603"/>
      <c r="L43" s="603"/>
      <c r="M43" s="603"/>
      <c r="N43" s="603"/>
      <c r="O43" s="514"/>
      <c r="P43" s="317" t="e">
        <f>Y14</f>
        <v>#REF!</v>
      </c>
      <c r="Q43" s="317">
        <f>'NPV (High)'!Y14</f>
        <v>9925969.0986842606</v>
      </c>
      <c r="R43" s="317" t="e">
        <f>MEDIAN(P43:Q43)</f>
        <v>#REF!</v>
      </c>
      <c r="S43" s="318" t="e">
        <f>(R43-P43)/R43</f>
        <v>#REF!</v>
      </c>
      <c r="T43" s="318" t="e">
        <f>(Q43-R43)/R43</f>
        <v>#REF!</v>
      </c>
    </row>
    <row r="44" spans="1:26" x14ac:dyDescent="0.25">
      <c r="J44" s="513" t="str">
        <f>A15</f>
        <v>SCA Standard HVAC Plant
(water-cooled chiller/HW cond. boiler)</v>
      </c>
      <c r="K44" s="603"/>
      <c r="L44" s="603"/>
      <c r="M44" s="603"/>
      <c r="N44" s="603"/>
      <c r="O44" s="514"/>
      <c r="P44" s="317" t="e">
        <f>Y19</f>
        <v>#REF!</v>
      </c>
      <c r="Q44" s="317" t="e">
        <f>'NPV (High)'!#REF!</f>
        <v>#REF!</v>
      </c>
      <c r="R44" s="317" t="e">
        <f t="shared" ref="R44:R47" si="26">MEDIAN(P44:Q44)</f>
        <v>#REF!</v>
      </c>
      <c r="S44" s="318" t="e">
        <f t="shared" ref="S44:S47" si="27">(R44-P44)/R44</f>
        <v>#REF!</v>
      </c>
      <c r="T44" s="318" t="e">
        <f t="shared" ref="T44:T47" si="28">(Q44-R44)/R44</f>
        <v>#REF!</v>
      </c>
    </row>
    <row r="45" spans="1:26" x14ac:dyDescent="0.25">
      <c r="J45" s="513" t="str">
        <f>A20</f>
        <v>Closed Loop HVAC Plant</v>
      </c>
      <c r="K45" s="603"/>
      <c r="L45" s="603"/>
      <c r="M45" s="603"/>
      <c r="N45" s="603"/>
      <c r="O45" s="514"/>
      <c r="P45" s="317" t="e">
        <f>Y24</f>
        <v>#REF!</v>
      </c>
      <c r="Q45" s="317">
        <f>'NPV (High)'!Y19</f>
        <v>14167956.60754529</v>
      </c>
      <c r="R45" s="317" t="e">
        <f t="shared" si="26"/>
        <v>#REF!</v>
      </c>
      <c r="S45" s="318" t="e">
        <f t="shared" si="27"/>
        <v>#REF!</v>
      </c>
      <c r="T45" s="318" t="e">
        <f t="shared" si="28"/>
        <v>#REF!</v>
      </c>
    </row>
    <row r="46" spans="1:26" x14ac:dyDescent="0.25">
      <c r="J46" s="513" t="str">
        <f>A25</f>
        <v>Standing Column HVAC Plant</v>
      </c>
      <c r="K46" s="603"/>
      <c r="L46" s="603"/>
      <c r="M46" s="603"/>
      <c r="N46" s="603"/>
      <c r="O46" s="514"/>
      <c r="P46" s="317" t="e">
        <f>Y29</f>
        <v>#REF!</v>
      </c>
      <c r="Q46" s="317">
        <f>'NPV (High)'!Y24</f>
        <v>12333115.309329705</v>
      </c>
      <c r="R46" s="317" t="e">
        <f t="shared" si="26"/>
        <v>#REF!</v>
      </c>
      <c r="S46" s="318" t="e">
        <f t="shared" si="27"/>
        <v>#REF!</v>
      </c>
      <c r="T46" s="318" t="e">
        <f t="shared" si="28"/>
        <v>#REF!</v>
      </c>
    </row>
    <row r="47" spans="1:26" x14ac:dyDescent="0.25">
      <c r="J47" s="513" t="str">
        <f>A30</f>
        <v>Open Loop HVAC Plant</v>
      </c>
      <c r="K47" s="603"/>
      <c r="L47" s="603"/>
      <c r="M47" s="603"/>
      <c r="N47" s="603"/>
      <c r="O47" s="514"/>
      <c r="P47" s="317" t="e">
        <f>Y34</f>
        <v>#REF!</v>
      </c>
      <c r="Q47" s="317" t="str">
        <f>'NPV (High)'!Y29</f>
        <v>N/A</v>
      </c>
      <c r="R47" s="317" t="e">
        <f t="shared" si="26"/>
        <v>#REF!</v>
      </c>
      <c r="S47" s="318" t="e">
        <f t="shared" si="27"/>
        <v>#REF!</v>
      </c>
      <c r="T47" s="318" t="e">
        <f t="shared" si="28"/>
        <v>#VALUE!</v>
      </c>
    </row>
  </sheetData>
  <mergeCells count="26">
    <mergeCell ref="J46:O46"/>
    <mergeCell ref="J47:O47"/>
    <mergeCell ref="A30:A34"/>
    <mergeCell ref="B30:B33"/>
    <mergeCell ref="C30:C33"/>
    <mergeCell ref="J43:O43"/>
    <mergeCell ref="J44:O44"/>
    <mergeCell ref="J45:O45"/>
    <mergeCell ref="A20:A24"/>
    <mergeCell ref="B20:B23"/>
    <mergeCell ref="C20:C23"/>
    <mergeCell ref="A25:A29"/>
    <mergeCell ref="B25:B28"/>
    <mergeCell ref="C25:C28"/>
    <mergeCell ref="A10:A14"/>
    <mergeCell ref="B10:B13"/>
    <mergeCell ref="C10:C13"/>
    <mergeCell ref="A15:A19"/>
    <mergeCell ref="B15:B18"/>
    <mergeCell ref="C15:C18"/>
    <mergeCell ref="A1:B1"/>
    <mergeCell ref="A7:Y7"/>
    <mergeCell ref="A8:A9"/>
    <mergeCell ref="B8:B9"/>
    <mergeCell ref="D8:D9"/>
    <mergeCell ref="Y8:Y9"/>
  </mergeCells>
  <pageMargins left="0.7" right="0.7" top="0.75" bottom="0.75" header="0.3" footer="0.3"/>
  <pageSetup paperSize="3" scale="6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pageSetUpPr fitToPage="1"/>
  </sheetPr>
  <dimension ref="A1:Z34"/>
  <sheetViews>
    <sheetView view="pageBreakPreview" topLeftCell="A3" zoomScaleNormal="80" zoomScaleSheetLayoutView="100" workbookViewId="0">
      <pane xSplit="4" topLeftCell="E1" activePane="topRight" state="frozen"/>
      <selection pane="topRight" activeCell="J11" sqref="J11"/>
    </sheetView>
  </sheetViews>
  <sheetFormatPr defaultRowHeight="15" x14ac:dyDescent="0.25"/>
  <cols>
    <col min="1" max="1" width="23.5703125" bestFit="1" customWidth="1"/>
    <col min="2" max="2" width="13.28515625" bestFit="1" customWidth="1"/>
    <col min="3" max="3" width="13.85546875" bestFit="1" customWidth="1"/>
    <col min="4" max="4" width="18.5703125" bestFit="1" customWidth="1"/>
    <col min="5" max="24" width="10.5703125" customWidth="1"/>
    <col min="25" max="25" width="13.85546875" bestFit="1" customWidth="1"/>
    <col min="26" max="26" width="5" bestFit="1" customWidth="1"/>
    <col min="35" max="35" width="11.5703125" bestFit="1" customWidth="1"/>
  </cols>
  <sheetData>
    <row r="1" spans="1:26" x14ac:dyDescent="0.25">
      <c r="A1" s="517" t="s">
        <v>218</v>
      </c>
      <c r="B1" s="517"/>
    </row>
    <row r="2" spans="1:26" x14ac:dyDescent="0.25">
      <c r="A2" s="1" t="s">
        <v>195</v>
      </c>
      <c r="B2" s="100">
        <v>0.05</v>
      </c>
    </row>
    <row r="3" spans="1:26" x14ac:dyDescent="0.25">
      <c r="A3" s="1" t="s">
        <v>193</v>
      </c>
      <c r="B3" s="100">
        <v>0.04</v>
      </c>
    </row>
    <row r="4" spans="1:26" x14ac:dyDescent="0.25">
      <c r="A4" s="1" t="s">
        <v>194</v>
      </c>
      <c r="B4" s="100">
        <v>0.04</v>
      </c>
    </row>
    <row r="5" spans="1:26" x14ac:dyDescent="0.25">
      <c r="A5" s="1" t="s">
        <v>199</v>
      </c>
      <c r="B5" s="100">
        <v>0.04</v>
      </c>
    </row>
    <row r="6" spans="1:26" ht="15.75" thickBot="1" x14ac:dyDescent="0.3"/>
    <row r="7" spans="1:26" x14ac:dyDescent="0.25">
      <c r="A7" s="599" t="s">
        <v>222</v>
      </c>
      <c r="B7" s="600"/>
      <c r="C7" s="600"/>
      <c r="D7" s="600"/>
      <c r="E7" s="600"/>
      <c r="F7" s="600"/>
      <c r="G7" s="600"/>
      <c r="H7" s="600"/>
      <c r="I7" s="600"/>
      <c r="J7" s="600"/>
      <c r="K7" s="600"/>
      <c r="L7" s="600"/>
      <c r="M7" s="600"/>
      <c r="N7" s="600"/>
      <c r="O7" s="600"/>
      <c r="P7" s="600"/>
      <c r="Q7" s="600"/>
      <c r="R7" s="600"/>
      <c r="S7" s="600"/>
      <c r="T7" s="600"/>
      <c r="U7" s="600"/>
      <c r="V7" s="600"/>
      <c r="W7" s="600"/>
      <c r="X7" s="600"/>
      <c r="Y7" s="601"/>
    </row>
    <row r="8" spans="1:26" x14ac:dyDescent="0.25">
      <c r="A8" s="635" t="s">
        <v>23</v>
      </c>
      <c r="B8" s="527" t="s">
        <v>221</v>
      </c>
      <c r="C8" s="99">
        <v>0</v>
      </c>
      <c r="D8" s="527" t="s">
        <v>220</v>
      </c>
      <c r="E8" s="99">
        <v>1</v>
      </c>
      <c r="F8" s="99">
        <v>2</v>
      </c>
      <c r="G8" s="99">
        <v>3</v>
      </c>
      <c r="H8" s="99">
        <v>4</v>
      </c>
      <c r="I8" s="99">
        <v>5</v>
      </c>
      <c r="J8" s="99">
        <v>6</v>
      </c>
      <c r="K8" s="99">
        <v>7</v>
      </c>
      <c r="L8" s="99">
        <v>8</v>
      </c>
      <c r="M8" s="99">
        <v>9</v>
      </c>
      <c r="N8" s="99">
        <v>10</v>
      </c>
      <c r="O8" s="99">
        <v>11</v>
      </c>
      <c r="P8" s="99">
        <v>12</v>
      </c>
      <c r="Q8" s="99">
        <v>13</v>
      </c>
      <c r="R8" s="99">
        <v>14</v>
      </c>
      <c r="S8" s="99">
        <v>15</v>
      </c>
      <c r="T8" s="99">
        <v>16</v>
      </c>
      <c r="U8" s="99">
        <v>17</v>
      </c>
      <c r="V8" s="99">
        <v>18</v>
      </c>
      <c r="W8" s="99">
        <v>19</v>
      </c>
      <c r="X8" s="99">
        <v>20</v>
      </c>
      <c r="Y8" s="638" t="s">
        <v>190</v>
      </c>
    </row>
    <row r="9" spans="1:26" ht="15.75" thickBot="1" x14ac:dyDescent="0.3">
      <c r="A9" s="636"/>
      <c r="B9" s="637"/>
      <c r="C9" s="103">
        <v>2018</v>
      </c>
      <c r="D9" s="527"/>
      <c r="E9" s="103">
        <v>2019</v>
      </c>
      <c r="F9" s="103">
        <v>2020</v>
      </c>
      <c r="G9" s="103">
        <v>2021</v>
      </c>
      <c r="H9" s="103">
        <v>2022</v>
      </c>
      <c r="I9" s="103">
        <v>2023</v>
      </c>
      <c r="J9" s="103">
        <v>2024</v>
      </c>
      <c r="K9" s="103">
        <v>2025</v>
      </c>
      <c r="L9" s="103">
        <v>2026</v>
      </c>
      <c r="M9" s="103">
        <v>2027</v>
      </c>
      <c r="N9" s="103">
        <v>2028</v>
      </c>
      <c r="O9" s="103">
        <v>2029</v>
      </c>
      <c r="P9" s="103">
        <v>2030</v>
      </c>
      <c r="Q9" s="103">
        <v>2031</v>
      </c>
      <c r="R9" s="103">
        <v>2032</v>
      </c>
      <c r="S9" s="103">
        <v>2033</v>
      </c>
      <c r="T9" s="103">
        <v>2034</v>
      </c>
      <c r="U9" s="103">
        <v>2035</v>
      </c>
      <c r="V9" s="103">
        <v>2036</v>
      </c>
      <c r="W9" s="103">
        <v>2037</v>
      </c>
      <c r="X9" s="103">
        <v>2038</v>
      </c>
      <c r="Y9" s="639"/>
    </row>
    <row r="10" spans="1:26" ht="15" customHeight="1" x14ac:dyDescent="0.25">
      <c r="A10" s="655" t="s">
        <v>288</v>
      </c>
      <c r="B10" s="538" t="s">
        <v>188</v>
      </c>
      <c r="C10" s="652" t="e">
        <f>('Capital Cost'!#REF!-Summary!#REF!)</f>
        <v>#REF!</v>
      </c>
      <c r="D10" s="102" t="s">
        <v>200</v>
      </c>
      <c r="E10" s="230" t="e">
        <f>(#REF!)</f>
        <v>#REF!</v>
      </c>
      <c r="F10" s="231" t="e">
        <f t="shared" ref="F10:X10" si="0">E10*(1+$B$3)</f>
        <v>#REF!</v>
      </c>
      <c r="G10" s="231" t="e">
        <f t="shared" si="0"/>
        <v>#REF!</v>
      </c>
      <c r="H10" s="231" t="e">
        <f t="shared" si="0"/>
        <v>#REF!</v>
      </c>
      <c r="I10" s="231" t="e">
        <f t="shared" si="0"/>
        <v>#REF!</v>
      </c>
      <c r="J10" s="231" t="e">
        <f t="shared" si="0"/>
        <v>#REF!</v>
      </c>
      <c r="K10" s="231" t="e">
        <f t="shared" si="0"/>
        <v>#REF!</v>
      </c>
      <c r="L10" s="231" t="e">
        <f t="shared" si="0"/>
        <v>#REF!</v>
      </c>
      <c r="M10" s="231" t="e">
        <f t="shared" si="0"/>
        <v>#REF!</v>
      </c>
      <c r="N10" s="231" t="e">
        <f t="shared" si="0"/>
        <v>#REF!</v>
      </c>
      <c r="O10" s="231" t="e">
        <f t="shared" si="0"/>
        <v>#REF!</v>
      </c>
      <c r="P10" s="231" t="e">
        <f t="shared" si="0"/>
        <v>#REF!</v>
      </c>
      <c r="Q10" s="231" t="e">
        <f t="shared" si="0"/>
        <v>#REF!</v>
      </c>
      <c r="R10" s="231" t="e">
        <f t="shared" si="0"/>
        <v>#REF!</v>
      </c>
      <c r="S10" s="231" t="e">
        <f t="shared" si="0"/>
        <v>#REF!</v>
      </c>
      <c r="T10" s="231" t="e">
        <f t="shared" si="0"/>
        <v>#REF!</v>
      </c>
      <c r="U10" s="231" t="e">
        <f t="shared" si="0"/>
        <v>#REF!</v>
      </c>
      <c r="V10" s="231" t="e">
        <f t="shared" si="0"/>
        <v>#REF!</v>
      </c>
      <c r="W10" s="231" t="e">
        <f t="shared" si="0"/>
        <v>#REF!</v>
      </c>
      <c r="X10" s="231" t="e">
        <f t="shared" si="0"/>
        <v>#REF!</v>
      </c>
      <c r="Y10" s="232" t="e">
        <f>SUM(E10:X10)</f>
        <v>#REF!</v>
      </c>
    </row>
    <row r="11" spans="1:26" ht="15" customHeight="1" x14ac:dyDescent="0.25">
      <c r="A11" s="643"/>
      <c r="B11" s="538"/>
      <c r="C11" s="652"/>
      <c r="D11" s="58" t="s">
        <v>201</v>
      </c>
      <c r="E11" s="233" t="e">
        <f>'Annual Maintenance Cost'!#REF!</f>
        <v>#REF!</v>
      </c>
      <c r="F11" s="217" t="e">
        <f t="shared" ref="F11:X11" si="1">E11*(1+$B$4)</f>
        <v>#REF!</v>
      </c>
      <c r="G11" s="217" t="e">
        <f t="shared" si="1"/>
        <v>#REF!</v>
      </c>
      <c r="H11" s="217" t="e">
        <f t="shared" si="1"/>
        <v>#REF!</v>
      </c>
      <c r="I11" s="217" t="e">
        <f t="shared" si="1"/>
        <v>#REF!</v>
      </c>
      <c r="J11" s="217" t="e">
        <f t="shared" si="1"/>
        <v>#REF!</v>
      </c>
      <c r="K11" s="217" t="e">
        <f t="shared" si="1"/>
        <v>#REF!</v>
      </c>
      <c r="L11" s="217" t="e">
        <f t="shared" si="1"/>
        <v>#REF!</v>
      </c>
      <c r="M11" s="217" t="e">
        <f t="shared" si="1"/>
        <v>#REF!</v>
      </c>
      <c r="N11" s="217" t="e">
        <f t="shared" si="1"/>
        <v>#REF!</v>
      </c>
      <c r="O11" s="217" t="e">
        <f t="shared" si="1"/>
        <v>#REF!</v>
      </c>
      <c r="P11" s="217" t="e">
        <f t="shared" si="1"/>
        <v>#REF!</v>
      </c>
      <c r="Q11" s="217" t="e">
        <f t="shared" si="1"/>
        <v>#REF!</v>
      </c>
      <c r="R11" s="217" t="e">
        <f t="shared" si="1"/>
        <v>#REF!</v>
      </c>
      <c r="S11" s="217" t="e">
        <f t="shared" si="1"/>
        <v>#REF!</v>
      </c>
      <c r="T11" s="217" t="e">
        <f t="shared" si="1"/>
        <v>#REF!</v>
      </c>
      <c r="U11" s="217" t="e">
        <f t="shared" si="1"/>
        <v>#REF!</v>
      </c>
      <c r="V11" s="217" t="e">
        <f t="shared" si="1"/>
        <v>#REF!</v>
      </c>
      <c r="W11" s="217" t="e">
        <f t="shared" si="1"/>
        <v>#REF!</v>
      </c>
      <c r="X11" s="217" t="e">
        <f t="shared" si="1"/>
        <v>#REF!</v>
      </c>
      <c r="Y11" s="220" t="e">
        <f>SUM(E11:X11)</f>
        <v>#REF!</v>
      </c>
    </row>
    <row r="12" spans="1:26" ht="15" customHeight="1" x14ac:dyDescent="0.25">
      <c r="A12" s="643"/>
      <c r="B12" s="538"/>
      <c r="C12" s="652"/>
      <c r="D12" s="58" t="s">
        <v>202</v>
      </c>
      <c r="E12" s="217" t="e">
        <f>'Carbon Cost'!#REF!</f>
        <v>#REF!</v>
      </c>
      <c r="F12" s="217" t="e">
        <f t="shared" ref="F12:X12" si="2">E12*(1+$B$5)</f>
        <v>#REF!</v>
      </c>
      <c r="G12" s="217" t="e">
        <f t="shared" si="2"/>
        <v>#REF!</v>
      </c>
      <c r="H12" s="217" t="e">
        <f t="shared" si="2"/>
        <v>#REF!</v>
      </c>
      <c r="I12" s="217" t="e">
        <f t="shared" si="2"/>
        <v>#REF!</v>
      </c>
      <c r="J12" s="217" t="e">
        <f t="shared" si="2"/>
        <v>#REF!</v>
      </c>
      <c r="K12" s="217" t="e">
        <f t="shared" si="2"/>
        <v>#REF!</v>
      </c>
      <c r="L12" s="217" t="e">
        <f t="shared" si="2"/>
        <v>#REF!</v>
      </c>
      <c r="M12" s="217" t="e">
        <f t="shared" si="2"/>
        <v>#REF!</v>
      </c>
      <c r="N12" s="217" t="e">
        <f t="shared" si="2"/>
        <v>#REF!</v>
      </c>
      <c r="O12" s="217" t="e">
        <f t="shared" si="2"/>
        <v>#REF!</v>
      </c>
      <c r="P12" s="217" t="e">
        <f t="shared" si="2"/>
        <v>#REF!</v>
      </c>
      <c r="Q12" s="217" t="e">
        <f t="shared" si="2"/>
        <v>#REF!</v>
      </c>
      <c r="R12" s="217" t="e">
        <f t="shared" si="2"/>
        <v>#REF!</v>
      </c>
      <c r="S12" s="217" t="e">
        <f t="shared" si="2"/>
        <v>#REF!</v>
      </c>
      <c r="T12" s="217" t="e">
        <f t="shared" si="2"/>
        <v>#REF!</v>
      </c>
      <c r="U12" s="217" t="e">
        <f t="shared" si="2"/>
        <v>#REF!</v>
      </c>
      <c r="V12" s="217" t="e">
        <f t="shared" si="2"/>
        <v>#REF!</v>
      </c>
      <c r="W12" s="217" t="e">
        <f t="shared" si="2"/>
        <v>#REF!</v>
      </c>
      <c r="X12" s="217" t="e">
        <f t="shared" si="2"/>
        <v>#REF!</v>
      </c>
      <c r="Y12" s="232" t="e">
        <f>SUM(E12:X12)</f>
        <v>#REF!</v>
      </c>
    </row>
    <row r="13" spans="1:26" ht="15" customHeight="1" x14ac:dyDescent="0.25">
      <c r="A13" s="643"/>
      <c r="B13" s="539"/>
      <c r="C13" s="653"/>
      <c r="D13" s="58" t="s">
        <v>203</v>
      </c>
      <c r="E13" s="217" t="e">
        <f>SUM(E10:E12)</f>
        <v>#REF!</v>
      </c>
      <c r="F13" s="217" t="e">
        <f t="shared" ref="F13:X13" si="3">SUM(F10:F12)</f>
        <v>#REF!</v>
      </c>
      <c r="G13" s="217" t="e">
        <f t="shared" si="3"/>
        <v>#REF!</v>
      </c>
      <c r="H13" s="217" t="e">
        <f t="shared" si="3"/>
        <v>#REF!</v>
      </c>
      <c r="I13" s="217" t="e">
        <f t="shared" si="3"/>
        <v>#REF!</v>
      </c>
      <c r="J13" s="217" t="e">
        <f t="shared" si="3"/>
        <v>#REF!</v>
      </c>
      <c r="K13" s="217" t="e">
        <f t="shared" si="3"/>
        <v>#REF!</v>
      </c>
      <c r="L13" s="217" t="e">
        <f t="shared" si="3"/>
        <v>#REF!</v>
      </c>
      <c r="M13" s="217" t="e">
        <f t="shared" si="3"/>
        <v>#REF!</v>
      </c>
      <c r="N13" s="217" t="e">
        <f t="shared" si="3"/>
        <v>#REF!</v>
      </c>
      <c r="O13" s="217" t="e">
        <f t="shared" si="3"/>
        <v>#REF!</v>
      </c>
      <c r="P13" s="217" t="e">
        <f t="shared" si="3"/>
        <v>#REF!</v>
      </c>
      <c r="Q13" s="217" t="e">
        <f t="shared" si="3"/>
        <v>#REF!</v>
      </c>
      <c r="R13" s="217" t="e">
        <f t="shared" si="3"/>
        <v>#REF!</v>
      </c>
      <c r="S13" s="217" t="e">
        <f t="shared" si="3"/>
        <v>#REF!</v>
      </c>
      <c r="T13" s="217" t="e">
        <f t="shared" si="3"/>
        <v>#REF!</v>
      </c>
      <c r="U13" s="217" t="e">
        <f t="shared" si="3"/>
        <v>#REF!</v>
      </c>
      <c r="V13" s="217" t="e">
        <f t="shared" si="3"/>
        <v>#REF!</v>
      </c>
      <c r="W13" s="217" t="e">
        <f t="shared" si="3"/>
        <v>#REF!</v>
      </c>
      <c r="X13" s="217" t="e">
        <f t="shared" si="3"/>
        <v>#REF!</v>
      </c>
      <c r="Y13" s="232" t="e">
        <f>SUM(E13:X13)</f>
        <v>#REF!</v>
      </c>
    </row>
    <row r="14" spans="1:26" ht="15.75" thickBot="1" x14ac:dyDescent="0.3">
      <c r="A14" s="644"/>
      <c r="B14" s="101" t="s">
        <v>189</v>
      </c>
      <c r="C14" s="229" t="e">
        <f>C10</f>
        <v>#REF!</v>
      </c>
      <c r="D14" s="101" t="s">
        <v>189</v>
      </c>
      <c r="E14" s="228" t="e">
        <f t="shared" ref="E14:X14" si="4">-PV($B$2,E$8,0,E13,0)</f>
        <v>#REF!</v>
      </c>
      <c r="F14" s="228" t="e">
        <f t="shared" si="4"/>
        <v>#REF!</v>
      </c>
      <c r="G14" s="228" t="e">
        <f t="shared" si="4"/>
        <v>#REF!</v>
      </c>
      <c r="H14" s="228" t="e">
        <f t="shared" si="4"/>
        <v>#REF!</v>
      </c>
      <c r="I14" s="228" t="e">
        <f t="shared" si="4"/>
        <v>#REF!</v>
      </c>
      <c r="J14" s="228" t="e">
        <f t="shared" si="4"/>
        <v>#REF!</v>
      </c>
      <c r="K14" s="228" t="e">
        <f t="shared" si="4"/>
        <v>#REF!</v>
      </c>
      <c r="L14" s="228" t="e">
        <f t="shared" si="4"/>
        <v>#REF!</v>
      </c>
      <c r="M14" s="228" t="e">
        <f t="shared" si="4"/>
        <v>#REF!</v>
      </c>
      <c r="N14" s="228" t="e">
        <f t="shared" si="4"/>
        <v>#REF!</v>
      </c>
      <c r="O14" s="228" t="e">
        <f t="shared" si="4"/>
        <v>#REF!</v>
      </c>
      <c r="P14" s="228" t="e">
        <f t="shared" si="4"/>
        <v>#REF!</v>
      </c>
      <c r="Q14" s="228" t="e">
        <f t="shared" si="4"/>
        <v>#REF!</v>
      </c>
      <c r="R14" s="228" t="e">
        <f t="shared" si="4"/>
        <v>#REF!</v>
      </c>
      <c r="S14" s="228" t="e">
        <f t="shared" si="4"/>
        <v>#REF!</v>
      </c>
      <c r="T14" s="228" t="e">
        <f t="shared" si="4"/>
        <v>#REF!</v>
      </c>
      <c r="U14" s="228" t="e">
        <f t="shared" si="4"/>
        <v>#REF!</v>
      </c>
      <c r="V14" s="228" t="e">
        <f t="shared" si="4"/>
        <v>#REF!</v>
      </c>
      <c r="W14" s="228" t="e">
        <f t="shared" si="4"/>
        <v>#REF!</v>
      </c>
      <c r="X14" s="228" t="e">
        <f t="shared" si="4"/>
        <v>#REF!</v>
      </c>
      <c r="Y14" s="234" t="e">
        <f>SUM(C14:X14)</f>
        <v>#REF!</v>
      </c>
      <c r="Z14" t="s">
        <v>198</v>
      </c>
    </row>
    <row r="15" spans="1:26" x14ac:dyDescent="0.25">
      <c r="A15" s="655" t="s">
        <v>289</v>
      </c>
      <c r="B15" s="538" t="s">
        <v>188</v>
      </c>
      <c r="C15" s="652" t="e">
        <f>('Capital Cost'!#REF!-Summary!#REF!)</f>
        <v>#REF!</v>
      </c>
      <c r="D15" s="102" t="s">
        <v>200</v>
      </c>
      <c r="E15" s="230" t="e">
        <f>(#REF!)</f>
        <v>#REF!</v>
      </c>
      <c r="F15" s="231" t="e">
        <f t="shared" ref="F15:X15" si="5">E15*(1+$B$3)</f>
        <v>#REF!</v>
      </c>
      <c r="G15" s="231" t="e">
        <f t="shared" si="5"/>
        <v>#REF!</v>
      </c>
      <c r="H15" s="231" t="e">
        <f t="shared" si="5"/>
        <v>#REF!</v>
      </c>
      <c r="I15" s="231" t="e">
        <f t="shared" si="5"/>
        <v>#REF!</v>
      </c>
      <c r="J15" s="231" t="e">
        <f t="shared" si="5"/>
        <v>#REF!</v>
      </c>
      <c r="K15" s="231" t="e">
        <f t="shared" si="5"/>
        <v>#REF!</v>
      </c>
      <c r="L15" s="231" t="e">
        <f t="shared" si="5"/>
        <v>#REF!</v>
      </c>
      <c r="M15" s="231" t="e">
        <f t="shared" si="5"/>
        <v>#REF!</v>
      </c>
      <c r="N15" s="231" t="e">
        <f t="shared" si="5"/>
        <v>#REF!</v>
      </c>
      <c r="O15" s="231" t="e">
        <f t="shared" si="5"/>
        <v>#REF!</v>
      </c>
      <c r="P15" s="231" t="e">
        <f t="shared" si="5"/>
        <v>#REF!</v>
      </c>
      <c r="Q15" s="231" t="e">
        <f t="shared" si="5"/>
        <v>#REF!</v>
      </c>
      <c r="R15" s="231" t="e">
        <f t="shared" si="5"/>
        <v>#REF!</v>
      </c>
      <c r="S15" s="231" t="e">
        <f t="shared" si="5"/>
        <v>#REF!</v>
      </c>
      <c r="T15" s="231" t="e">
        <f t="shared" si="5"/>
        <v>#REF!</v>
      </c>
      <c r="U15" s="231" t="e">
        <f t="shared" si="5"/>
        <v>#REF!</v>
      </c>
      <c r="V15" s="231" t="e">
        <f t="shared" si="5"/>
        <v>#REF!</v>
      </c>
      <c r="W15" s="231" t="e">
        <f t="shared" si="5"/>
        <v>#REF!</v>
      </c>
      <c r="X15" s="231" t="e">
        <f t="shared" si="5"/>
        <v>#REF!</v>
      </c>
      <c r="Y15" s="232" t="e">
        <f>SUM(E15:X15)</f>
        <v>#REF!</v>
      </c>
    </row>
    <row r="16" spans="1:26" x14ac:dyDescent="0.25">
      <c r="A16" s="643"/>
      <c r="B16" s="538"/>
      <c r="C16" s="652"/>
      <c r="D16" s="58" t="s">
        <v>201</v>
      </c>
      <c r="E16" s="233" t="e">
        <f>'Annual Maintenance Cost'!#REF!</f>
        <v>#REF!</v>
      </c>
      <c r="F16" s="217" t="e">
        <f t="shared" ref="F16:X16" si="6">E16*(1+$B$4)</f>
        <v>#REF!</v>
      </c>
      <c r="G16" s="217" t="e">
        <f t="shared" si="6"/>
        <v>#REF!</v>
      </c>
      <c r="H16" s="217" t="e">
        <f t="shared" si="6"/>
        <v>#REF!</v>
      </c>
      <c r="I16" s="217" t="e">
        <f t="shared" si="6"/>
        <v>#REF!</v>
      </c>
      <c r="J16" s="217" t="e">
        <f t="shared" si="6"/>
        <v>#REF!</v>
      </c>
      <c r="K16" s="217" t="e">
        <f t="shared" si="6"/>
        <v>#REF!</v>
      </c>
      <c r="L16" s="217" t="e">
        <f t="shared" si="6"/>
        <v>#REF!</v>
      </c>
      <c r="M16" s="217" t="e">
        <f t="shared" si="6"/>
        <v>#REF!</v>
      </c>
      <c r="N16" s="217" t="e">
        <f t="shared" si="6"/>
        <v>#REF!</v>
      </c>
      <c r="O16" s="217" t="e">
        <f t="shared" si="6"/>
        <v>#REF!</v>
      </c>
      <c r="P16" s="217" t="e">
        <f t="shared" si="6"/>
        <v>#REF!</v>
      </c>
      <c r="Q16" s="217" t="e">
        <f t="shared" si="6"/>
        <v>#REF!</v>
      </c>
      <c r="R16" s="217" t="e">
        <f t="shared" si="6"/>
        <v>#REF!</v>
      </c>
      <c r="S16" s="217" t="e">
        <f t="shared" si="6"/>
        <v>#REF!</v>
      </c>
      <c r="T16" s="217" t="e">
        <f t="shared" si="6"/>
        <v>#REF!</v>
      </c>
      <c r="U16" s="217" t="e">
        <f t="shared" si="6"/>
        <v>#REF!</v>
      </c>
      <c r="V16" s="217" t="e">
        <f t="shared" si="6"/>
        <v>#REF!</v>
      </c>
      <c r="W16" s="217" t="e">
        <f t="shared" si="6"/>
        <v>#REF!</v>
      </c>
      <c r="X16" s="217" t="e">
        <f t="shared" si="6"/>
        <v>#REF!</v>
      </c>
      <c r="Y16" s="220" t="e">
        <f>SUM(E16:X16)</f>
        <v>#REF!</v>
      </c>
    </row>
    <row r="17" spans="1:26" x14ac:dyDescent="0.25">
      <c r="A17" s="643"/>
      <c r="B17" s="538"/>
      <c r="C17" s="652"/>
      <c r="D17" s="58" t="s">
        <v>202</v>
      </c>
      <c r="E17" s="217" t="e">
        <f>'Carbon Cost'!#REF!</f>
        <v>#REF!</v>
      </c>
      <c r="F17" s="217" t="e">
        <f t="shared" ref="F17:X17" si="7">E17*(1+$B$5)</f>
        <v>#REF!</v>
      </c>
      <c r="G17" s="217" t="e">
        <f t="shared" si="7"/>
        <v>#REF!</v>
      </c>
      <c r="H17" s="217" t="e">
        <f t="shared" si="7"/>
        <v>#REF!</v>
      </c>
      <c r="I17" s="217" t="e">
        <f t="shared" si="7"/>
        <v>#REF!</v>
      </c>
      <c r="J17" s="217" t="e">
        <f t="shared" si="7"/>
        <v>#REF!</v>
      </c>
      <c r="K17" s="217" t="e">
        <f t="shared" si="7"/>
        <v>#REF!</v>
      </c>
      <c r="L17" s="217" t="e">
        <f t="shared" si="7"/>
        <v>#REF!</v>
      </c>
      <c r="M17" s="217" t="e">
        <f t="shared" si="7"/>
        <v>#REF!</v>
      </c>
      <c r="N17" s="217" t="e">
        <f t="shared" si="7"/>
        <v>#REF!</v>
      </c>
      <c r="O17" s="217" t="e">
        <f t="shared" si="7"/>
        <v>#REF!</v>
      </c>
      <c r="P17" s="217" t="e">
        <f t="shared" si="7"/>
        <v>#REF!</v>
      </c>
      <c r="Q17" s="217" t="e">
        <f t="shared" si="7"/>
        <v>#REF!</v>
      </c>
      <c r="R17" s="217" t="e">
        <f t="shared" si="7"/>
        <v>#REF!</v>
      </c>
      <c r="S17" s="217" t="e">
        <f t="shared" si="7"/>
        <v>#REF!</v>
      </c>
      <c r="T17" s="217" t="e">
        <f t="shared" si="7"/>
        <v>#REF!</v>
      </c>
      <c r="U17" s="217" t="e">
        <f t="shared" si="7"/>
        <v>#REF!</v>
      </c>
      <c r="V17" s="217" t="e">
        <f t="shared" si="7"/>
        <v>#REF!</v>
      </c>
      <c r="W17" s="217" t="e">
        <f t="shared" si="7"/>
        <v>#REF!</v>
      </c>
      <c r="X17" s="217" t="e">
        <f t="shared" si="7"/>
        <v>#REF!</v>
      </c>
      <c r="Y17" s="232" t="e">
        <f>SUM(E17:X17)</f>
        <v>#REF!</v>
      </c>
    </row>
    <row r="18" spans="1:26" x14ac:dyDescent="0.25">
      <c r="A18" s="643"/>
      <c r="B18" s="539"/>
      <c r="C18" s="653"/>
      <c r="D18" s="58" t="s">
        <v>203</v>
      </c>
      <c r="E18" s="217" t="e">
        <f>SUM(E15:E17)</f>
        <v>#REF!</v>
      </c>
      <c r="F18" s="217" t="e">
        <f t="shared" ref="F18:X18" si="8">SUM(F15:F17)</f>
        <v>#REF!</v>
      </c>
      <c r="G18" s="217" t="e">
        <f t="shared" si="8"/>
        <v>#REF!</v>
      </c>
      <c r="H18" s="217" t="e">
        <f t="shared" si="8"/>
        <v>#REF!</v>
      </c>
      <c r="I18" s="217" t="e">
        <f t="shared" si="8"/>
        <v>#REF!</v>
      </c>
      <c r="J18" s="217" t="e">
        <f t="shared" si="8"/>
        <v>#REF!</v>
      </c>
      <c r="K18" s="217" t="e">
        <f t="shared" si="8"/>
        <v>#REF!</v>
      </c>
      <c r="L18" s="217" t="e">
        <f t="shared" si="8"/>
        <v>#REF!</v>
      </c>
      <c r="M18" s="217" t="e">
        <f t="shared" si="8"/>
        <v>#REF!</v>
      </c>
      <c r="N18" s="217" t="e">
        <f t="shared" si="8"/>
        <v>#REF!</v>
      </c>
      <c r="O18" s="217" t="e">
        <f t="shared" si="8"/>
        <v>#REF!</v>
      </c>
      <c r="P18" s="217" t="e">
        <f t="shared" si="8"/>
        <v>#REF!</v>
      </c>
      <c r="Q18" s="217" t="e">
        <f t="shared" si="8"/>
        <v>#REF!</v>
      </c>
      <c r="R18" s="217" t="e">
        <f t="shared" si="8"/>
        <v>#REF!</v>
      </c>
      <c r="S18" s="217" t="e">
        <f t="shared" si="8"/>
        <v>#REF!</v>
      </c>
      <c r="T18" s="217" t="e">
        <f t="shared" si="8"/>
        <v>#REF!</v>
      </c>
      <c r="U18" s="217" t="e">
        <f t="shared" si="8"/>
        <v>#REF!</v>
      </c>
      <c r="V18" s="217" t="e">
        <f t="shared" si="8"/>
        <v>#REF!</v>
      </c>
      <c r="W18" s="217" t="e">
        <f t="shared" si="8"/>
        <v>#REF!</v>
      </c>
      <c r="X18" s="217" t="e">
        <f t="shared" si="8"/>
        <v>#REF!</v>
      </c>
      <c r="Y18" s="232" t="e">
        <f>SUM(E18:X18)</f>
        <v>#REF!</v>
      </c>
    </row>
    <row r="19" spans="1:26" ht="15.75" thickBot="1" x14ac:dyDescent="0.3">
      <c r="A19" s="644"/>
      <c r="B19" s="101" t="s">
        <v>189</v>
      </c>
      <c r="C19" s="229" t="e">
        <f>C15</f>
        <v>#REF!</v>
      </c>
      <c r="D19" s="101" t="s">
        <v>189</v>
      </c>
      <c r="E19" s="228" t="e">
        <f t="shared" ref="E19:X19" si="9">-PV($B$2,E$8,0,E18,0)</f>
        <v>#REF!</v>
      </c>
      <c r="F19" s="228" t="e">
        <f t="shared" si="9"/>
        <v>#REF!</v>
      </c>
      <c r="G19" s="228" t="e">
        <f t="shared" si="9"/>
        <v>#REF!</v>
      </c>
      <c r="H19" s="228" t="e">
        <f t="shared" si="9"/>
        <v>#REF!</v>
      </c>
      <c r="I19" s="228" t="e">
        <f t="shared" si="9"/>
        <v>#REF!</v>
      </c>
      <c r="J19" s="228" t="e">
        <f t="shared" si="9"/>
        <v>#REF!</v>
      </c>
      <c r="K19" s="228" t="e">
        <f t="shared" si="9"/>
        <v>#REF!</v>
      </c>
      <c r="L19" s="228" t="e">
        <f t="shared" si="9"/>
        <v>#REF!</v>
      </c>
      <c r="M19" s="228" t="e">
        <f t="shared" si="9"/>
        <v>#REF!</v>
      </c>
      <c r="N19" s="228" t="e">
        <f t="shared" si="9"/>
        <v>#REF!</v>
      </c>
      <c r="O19" s="228" t="e">
        <f t="shared" si="9"/>
        <v>#REF!</v>
      </c>
      <c r="P19" s="228" t="e">
        <f t="shared" si="9"/>
        <v>#REF!</v>
      </c>
      <c r="Q19" s="228" t="e">
        <f t="shared" si="9"/>
        <v>#REF!</v>
      </c>
      <c r="R19" s="228" t="e">
        <f t="shared" si="9"/>
        <v>#REF!</v>
      </c>
      <c r="S19" s="228" t="e">
        <f t="shared" si="9"/>
        <v>#REF!</v>
      </c>
      <c r="T19" s="228" t="e">
        <f t="shared" si="9"/>
        <v>#REF!</v>
      </c>
      <c r="U19" s="228" t="e">
        <f t="shared" si="9"/>
        <v>#REF!</v>
      </c>
      <c r="V19" s="228" t="e">
        <f t="shared" si="9"/>
        <v>#REF!</v>
      </c>
      <c r="W19" s="228" t="e">
        <f t="shared" si="9"/>
        <v>#REF!</v>
      </c>
      <c r="X19" s="228" t="e">
        <f t="shared" si="9"/>
        <v>#REF!</v>
      </c>
      <c r="Y19" s="234" t="e">
        <f>SUM(C19:X19)</f>
        <v>#REF!</v>
      </c>
      <c r="Z19" t="s">
        <v>198</v>
      </c>
    </row>
    <row r="20" spans="1:26" x14ac:dyDescent="0.25">
      <c r="A20" s="651" t="s">
        <v>191</v>
      </c>
      <c r="B20" s="648" t="s">
        <v>188</v>
      </c>
      <c r="C20" s="654">
        <f>'Capital Cost'!D16</f>
        <v>11953052.222222222</v>
      </c>
      <c r="D20" s="62" t="s">
        <v>200</v>
      </c>
      <c r="E20" s="235" t="e">
        <f>(#REF!)</f>
        <v>#REF!</v>
      </c>
      <c r="F20" s="236" t="e">
        <f t="shared" ref="F20:X20" si="10">E20*(1+$B$3)</f>
        <v>#REF!</v>
      </c>
      <c r="G20" s="236" t="e">
        <f t="shared" si="10"/>
        <v>#REF!</v>
      </c>
      <c r="H20" s="236" t="e">
        <f t="shared" si="10"/>
        <v>#REF!</v>
      </c>
      <c r="I20" s="236" t="e">
        <f t="shared" si="10"/>
        <v>#REF!</v>
      </c>
      <c r="J20" s="236" t="e">
        <f t="shared" si="10"/>
        <v>#REF!</v>
      </c>
      <c r="K20" s="236" t="e">
        <f t="shared" si="10"/>
        <v>#REF!</v>
      </c>
      <c r="L20" s="236" t="e">
        <f t="shared" si="10"/>
        <v>#REF!</v>
      </c>
      <c r="M20" s="236" t="e">
        <f t="shared" si="10"/>
        <v>#REF!</v>
      </c>
      <c r="N20" s="236" t="e">
        <f t="shared" si="10"/>
        <v>#REF!</v>
      </c>
      <c r="O20" s="236" t="e">
        <f t="shared" si="10"/>
        <v>#REF!</v>
      </c>
      <c r="P20" s="236" t="e">
        <f t="shared" si="10"/>
        <v>#REF!</v>
      </c>
      <c r="Q20" s="236" t="e">
        <f t="shared" si="10"/>
        <v>#REF!</v>
      </c>
      <c r="R20" s="236" t="e">
        <f t="shared" si="10"/>
        <v>#REF!</v>
      </c>
      <c r="S20" s="236" t="e">
        <f t="shared" si="10"/>
        <v>#REF!</v>
      </c>
      <c r="T20" s="236" t="e">
        <f t="shared" si="10"/>
        <v>#REF!</v>
      </c>
      <c r="U20" s="236" t="e">
        <f t="shared" si="10"/>
        <v>#REF!</v>
      </c>
      <c r="V20" s="236" t="e">
        <f t="shared" si="10"/>
        <v>#REF!</v>
      </c>
      <c r="W20" s="236" t="e">
        <f t="shared" si="10"/>
        <v>#REF!</v>
      </c>
      <c r="X20" s="236" t="e">
        <f t="shared" si="10"/>
        <v>#REF!</v>
      </c>
      <c r="Y20" s="237" t="e">
        <f>SUM(E20:X20)</f>
        <v>#REF!</v>
      </c>
    </row>
    <row r="21" spans="1:26" x14ac:dyDescent="0.25">
      <c r="A21" s="649"/>
      <c r="B21" s="538"/>
      <c r="C21" s="652"/>
      <c r="D21" s="58" t="s">
        <v>201</v>
      </c>
      <c r="E21" s="233">
        <f>'Annual Maintenance Cost'!D9</f>
        <v>1830</v>
      </c>
      <c r="F21" s="217">
        <f t="shared" ref="F21:X21" si="11">E21*(1+$B$4)</f>
        <v>1903.2</v>
      </c>
      <c r="G21" s="217">
        <f t="shared" si="11"/>
        <v>1979.3280000000002</v>
      </c>
      <c r="H21" s="217">
        <f t="shared" si="11"/>
        <v>2058.5011200000004</v>
      </c>
      <c r="I21" s="217">
        <f t="shared" si="11"/>
        <v>2140.8411648000006</v>
      </c>
      <c r="J21" s="217">
        <f t="shared" si="11"/>
        <v>2226.4748113920004</v>
      </c>
      <c r="K21" s="217">
        <f t="shared" si="11"/>
        <v>2315.5338038476807</v>
      </c>
      <c r="L21" s="217">
        <f t="shared" si="11"/>
        <v>2408.1551560015882</v>
      </c>
      <c r="M21" s="217">
        <f t="shared" si="11"/>
        <v>2504.4813622416518</v>
      </c>
      <c r="N21" s="217">
        <f t="shared" si="11"/>
        <v>2604.660616731318</v>
      </c>
      <c r="O21" s="217">
        <f t="shared" si="11"/>
        <v>2708.847041400571</v>
      </c>
      <c r="P21" s="217">
        <f t="shared" si="11"/>
        <v>2817.2009230565941</v>
      </c>
      <c r="Q21" s="217">
        <f t="shared" si="11"/>
        <v>2929.8889599788581</v>
      </c>
      <c r="R21" s="217">
        <f t="shared" si="11"/>
        <v>3047.0845183780125</v>
      </c>
      <c r="S21" s="217">
        <f t="shared" si="11"/>
        <v>3168.9678991131332</v>
      </c>
      <c r="T21" s="217">
        <f t="shared" si="11"/>
        <v>3295.7266150776586</v>
      </c>
      <c r="U21" s="217">
        <f t="shared" si="11"/>
        <v>3427.555679680765</v>
      </c>
      <c r="V21" s="217">
        <f t="shared" si="11"/>
        <v>3564.6579068679957</v>
      </c>
      <c r="W21" s="217">
        <f t="shared" si="11"/>
        <v>3707.2442231427158</v>
      </c>
      <c r="X21" s="217">
        <f t="shared" si="11"/>
        <v>3855.5339920684246</v>
      </c>
      <c r="Y21" s="220">
        <f>SUM(E21:X21)</f>
        <v>54493.883793778972</v>
      </c>
    </row>
    <row r="22" spans="1:26" x14ac:dyDescent="0.25">
      <c r="A22" s="649"/>
      <c r="B22" s="538"/>
      <c r="C22" s="652"/>
      <c r="D22" s="58" t="s">
        <v>202</v>
      </c>
      <c r="E22" s="217" t="e">
        <f>'Carbon Cost'!#REF!</f>
        <v>#REF!</v>
      </c>
      <c r="F22" s="217" t="e">
        <f t="shared" ref="F22:X22" si="12">E22*(1+$B$5)</f>
        <v>#REF!</v>
      </c>
      <c r="G22" s="217" t="e">
        <f t="shared" si="12"/>
        <v>#REF!</v>
      </c>
      <c r="H22" s="217" t="e">
        <f t="shared" si="12"/>
        <v>#REF!</v>
      </c>
      <c r="I22" s="217" t="e">
        <f t="shared" si="12"/>
        <v>#REF!</v>
      </c>
      <c r="J22" s="217" t="e">
        <f t="shared" si="12"/>
        <v>#REF!</v>
      </c>
      <c r="K22" s="217" t="e">
        <f t="shared" si="12"/>
        <v>#REF!</v>
      </c>
      <c r="L22" s="217" t="e">
        <f t="shared" si="12"/>
        <v>#REF!</v>
      </c>
      <c r="M22" s="217" t="e">
        <f t="shared" si="12"/>
        <v>#REF!</v>
      </c>
      <c r="N22" s="217" t="e">
        <f t="shared" si="12"/>
        <v>#REF!</v>
      </c>
      <c r="O22" s="217" t="e">
        <f t="shared" si="12"/>
        <v>#REF!</v>
      </c>
      <c r="P22" s="217" t="e">
        <f t="shared" si="12"/>
        <v>#REF!</v>
      </c>
      <c r="Q22" s="217" t="e">
        <f t="shared" si="12"/>
        <v>#REF!</v>
      </c>
      <c r="R22" s="217" t="e">
        <f t="shared" si="12"/>
        <v>#REF!</v>
      </c>
      <c r="S22" s="217" t="e">
        <f t="shared" si="12"/>
        <v>#REF!</v>
      </c>
      <c r="T22" s="217" t="e">
        <f t="shared" si="12"/>
        <v>#REF!</v>
      </c>
      <c r="U22" s="217" t="e">
        <f t="shared" si="12"/>
        <v>#REF!</v>
      </c>
      <c r="V22" s="217" t="e">
        <f t="shared" si="12"/>
        <v>#REF!</v>
      </c>
      <c r="W22" s="217" t="e">
        <f t="shared" si="12"/>
        <v>#REF!</v>
      </c>
      <c r="X22" s="217" t="e">
        <f t="shared" si="12"/>
        <v>#REF!</v>
      </c>
      <c r="Y22" s="232" t="e">
        <f>SUM(E22:X22)</f>
        <v>#REF!</v>
      </c>
    </row>
    <row r="23" spans="1:26" x14ac:dyDescent="0.25">
      <c r="A23" s="649"/>
      <c r="B23" s="539"/>
      <c r="C23" s="653"/>
      <c r="D23" s="58" t="s">
        <v>203</v>
      </c>
      <c r="E23" s="217" t="e">
        <f>SUM(E20:E22)</f>
        <v>#REF!</v>
      </c>
      <c r="F23" s="217" t="e">
        <f t="shared" ref="F23:X23" si="13">SUM(F20:F22)</f>
        <v>#REF!</v>
      </c>
      <c r="G23" s="217" t="e">
        <f t="shared" si="13"/>
        <v>#REF!</v>
      </c>
      <c r="H23" s="217" t="e">
        <f t="shared" si="13"/>
        <v>#REF!</v>
      </c>
      <c r="I23" s="217" t="e">
        <f t="shared" si="13"/>
        <v>#REF!</v>
      </c>
      <c r="J23" s="217" t="e">
        <f t="shared" si="13"/>
        <v>#REF!</v>
      </c>
      <c r="K23" s="217" t="e">
        <f t="shared" si="13"/>
        <v>#REF!</v>
      </c>
      <c r="L23" s="217" t="e">
        <f t="shared" si="13"/>
        <v>#REF!</v>
      </c>
      <c r="M23" s="217" t="e">
        <f t="shared" si="13"/>
        <v>#REF!</v>
      </c>
      <c r="N23" s="217" t="e">
        <f t="shared" si="13"/>
        <v>#REF!</v>
      </c>
      <c r="O23" s="217" t="e">
        <f t="shared" si="13"/>
        <v>#REF!</v>
      </c>
      <c r="P23" s="217" t="e">
        <f t="shared" si="13"/>
        <v>#REF!</v>
      </c>
      <c r="Q23" s="217" t="e">
        <f t="shared" si="13"/>
        <v>#REF!</v>
      </c>
      <c r="R23" s="217" t="e">
        <f t="shared" si="13"/>
        <v>#REF!</v>
      </c>
      <c r="S23" s="217" t="e">
        <f t="shared" si="13"/>
        <v>#REF!</v>
      </c>
      <c r="T23" s="217" t="e">
        <f t="shared" si="13"/>
        <v>#REF!</v>
      </c>
      <c r="U23" s="217" t="e">
        <f t="shared" si="13"/>
        <v>#REF!</v>
      </c>
      <c r="V23" s="217" t="e">
        <f t="shared" si="13"/>
        <v>#REF!</v>
      </c>
      <c r="W23" s="217" t="e">
        <f t="shared" si="13"/>
        <v>#REF!</v>
      </c>
      <c r="X23" s="217" t="e">
        <f t="shared" si="13"/>
        <v>#REF!</v>
      </c>
      <c r="Y23" s="220" t="e">
        <f>SUM(C23:X23)</f>
        <v>#REF!</v>
      </c>
    </row>
    <row r="24" spans="1:26" ht="15.75" thickBot="1" x14ac:dyDescent="0.3">
      <c r="A24" s="650"/>
      <c r="B24" s="101" t="s">
        <v>189</v>
      </c>
      <c r="C24" s="229">
        <f>C20</f>
        <v>11953052.222222222</v>
      </c>
      <c r="D24" s="101" t="s">
        <v>189</v>
      </c>
      <c r="E24" s="228" t="e">
        <f t="shared" ref="E24:X24" si="14">-PV($B$2,E$8,0,E23,0)</f>
        <v>#REF!</v>
      </c>
      <c r="F24" s="228" t="e">
        <f t="shared" si="14"/>
        <v>#REF!</v>
      </c>
      <c r="G24" s="228" t="e">
        <f t="shared" si="14"/>
        <v>#REF!</v>
      </c>
      <c r="H24" s="228" t="e">
        <f t="shared" si="14"/>
        <v>#REF!</v>
      </c>
      <c r="I24" s="228" t="e">
        <f t="shared" si="14"/>
        <v>#REF!</v>
      </c>
      <c r="J24" s="228" t="e">
        <f t="shared" si="14"/>
        <v>#REF!</v>
      </c>
      <c r="K24" s="228" t="e">
        <f t="shared" si="14"/>
        <v>#REF!</v>
      </c>
      <c r="L24" s="228" t="e">
        <f t="shared" si="14"/>
        <v>#REF!</v>
      </c>
      <c r="M24" s="228" t="e">
        <f t="shared" si="14"/>
        <v>#REF!</v>
      </c>
      <c r="N24" s="228" t="e">
        <f t="shared" si="14"/>
        <v>#REF!</v>
      </c>
      <c r="O24" s="228" t="e">
        <f t="shared" si="14"/>
        <v>#REF!</v>
      </c>
      <c r="P24" s="228" t="e">
        <f t="shared" si="14"/>
        <v>#REF!</v>
      </c>
      <c r="Q24" s="228" t="e">
        <f t="shared" si="14"/>
        <v>#REF!</v>
      </c>
      <c r="R24" s="228" t="e">
        <f t="shared" si="14"/>
        <v>#REF!</v>
      </c>
      <c r="S24" s="228" t="e">
        <f t="shared" si="14"/>
        <v>#REF!</v>
      </c>
      <c r="T24" s="228" t="e">
        <f t="shared" si="14"/>
        <v>#REF!</v>
      </c>
      <c r="U24" s="228" t="e">
        <f t="shared" si="14"/>
        <v>#REF!</v>
      </c>
      <c r="V24" s="228" t="e">
        <f t="shared" si="14"/>
        <v>#REF!</v>
      </c>
      <c r="W24" s="228" t="e">
        <f t="shared" si="14"/>
        <v>#REF!</v>
      </c>
      <c r="X24" s="228" t="e">
        <f t="shared" si="14"/>
        <v>#REF!</v>
      </c>
      <c r="Y24" s="234" t="e">
        <f>SUM(C24:X24)</f>
        <v>#REF!</v>
      </c>
      <c r="Z24" t="s">
        <v>198</v>
      </c>
    </row>
    <row r="25" spans="1:26" ht="15" customHeight="1" x14ac:dyDescent="0.25">
      <c r="A25" s="651" t="s">
        <v>196</v>
      </c>
      <c r="B25" s="648" t="s">
        <v>188</v>
      </c>
      <c r="C25" s="654">
        <f>'Capital Cost'!E16</f>
        <v>9656741.1111111119</v>
      </c>
      <c r="D25" s="62" t="s">
        <v>200</v>
      </c>
      <c r="E25" s="236" t="e">
        <f>(#REF!)</f>
        <v>#REF!</v>
      </c>
      <c r="F25" s="236" t="e">
        <f t="shared" ref="F25:X25" si="15">E25*(1+$B$3)</f>
        <v>#REF!</v>
      </c>
      <c r="G25" s="236" t="e">
        <f t="shared" si="15"/>
        <v>#REF!</v>
      </c>
      <c r="H25" s="236" t="e">
        <f t="shared" si="15"/>
        <v>#REF!</v>
      </c>
      <c r="I25" s="236" t="e">
        <f t="shared" si="15"/>
        <v>#REF!</v>
      </c>
      <c r="J25" s="236" t="e">
        <f t="shared" si="15"/>
        <v>#REF!</v>
      </c>
      <c r="K25" s="236" t="e">
        <f t="shared" si="15"/>
        <v>#REF!</v>
      </c>
      <c r="L25" s="236" t="e">
        <f t="shared" si="15"/>
        <v>#REF!</v>
      </c>
      <c r="M25" s="236" t="e">
        <f t="shared" si="15"/>
        <v>#REF!</v>
      </c>
      <c r="N25" s="236" t="e">
        <f t="shared" si="15"/>
        <v>#REF!</v>
      </c>
      <c r="O25" s="236" t="e">
        <f t="shared" si="15"/>
        <v>#REF!</v>
      </c>
      <c r="P25" s="236" t="e">
        <f t="shared" si="15"/>
        <v>#REF!</v>
      </c>
      <c r="Q25" s="236" t="e">
        <f t="shared" si="15"/>
        <v>#REF!</v>
      </c>
      <c r="R25" s="236" t="e">
        <f t="shared" si="15"/>
        <v>#REF!</v>
      </c>
      <c r="S25" s="236" t="e">
        <f t="shared" si="15"/>
        <v>#REF!</v>
      </c>
      <c r="T25" s="236" t="e">
        <f t="shared" si="15"/>
        <v>#REF!</v>
      </c>
      <c r="U25" s="236" t="e">
        <f t="shared" si="15"/>
        <v>#REF!</v>
      </c>
      <c r="V25" s="236" t="e">
        <f t="shared" si="15"/>
        <v>#REF!</v>
      </c>
      <c r="W25" s="236" t="e">
        <f t="shared" si="15"/>
        <v>#REF!</v>
      </c>
      <c r="X25" s="236" t="e">
        <f t="shared" si="15"/>
        <v>#REF!</v>
      </c>
      <c r="Y25" s="237" t="e">
        <f>SUM(E25:X25)</f>
        <v>#REF!</v>
      </c>
    </row>
    <row r="26" spans="1:26" x14ac:dyDescent="0.25">
      <c r="A26" s="649"/>
      <c r="B26" s="538"/>
      <c r="C26" s="652"/>
      <c r="D26" s="58" t="s">
        <v>201</v>
      </c>
      <c r="E26" s="217">
        <f>'Annual Maintenance Cost'!E9</f>
        <v>48800</v>
      </c>
      <c r="F26" s="217">
        <f t="shared" ref="F26:X26" si="16">E26*(1+$B$4)</f>
        <v>50752</v>
      </c>
      <c r="G26" s="217">
        <f t="shared" si="16"/>
        <v>52782.080000000002</v>
      </c>
      <c r="H26" s="217">
        <f t="shared" si="16"/>
        <v>54893.363200000007</v>
      </c>
      <c r="I26" s="217">
        <f t="shared" si="16"/>
        <v>57089.097728000008</v>
      </c>
      <c r="J26" s="217">
        <f t="shared" si="16"/>
        <v>59372.661637120007</v>
      </c>
      <c r="K26" s="217">
        <f t="shared" si="16"/>
        <v>61747.568102604811</v>
      </c>
      <c r="L26" s="217">
        <f t="shared" si="16"/>
        <v>64217.470826709003</v>
      </c>
      <c r="M26" s="217">
        <f t="shared" si="16"/>
        <v>66786.16965977737</v>
      </c>
      <c r="N26" s="217">
        <f t="shared" si="16"/>
        <v>69457.616446168468</v>
      </c>
      <c r="O26" s="217">
        <f t="shared" si="16"/>
        <v>72235.921104015215</v>
      </c>
      <c r="P26" s="217">
        <f t="shared" si="16"/>
        <v>75125.357948175821</v>
      </c>
      <c r="Q26" s="217">
        <f t="shared" si="16"/>
        <v>78130.372266102859</v>
      </c>
      <c r="R26" s="217">
        <f t="shared" si="16"/>
        <v>81255.587156746973</v>
      </c>
      <c r="S26" s="217">
        <f t="shared" si="16"/>
        <v>84505.810643016855</v>
      </c>
      <c r="T26" s="217">
        <f t="shared" si="16"/>
        <v>87886.043068737534</v>
      </c>
      <c r="U26" s="217">
        <f t="shared" si="16"/>
        <v>91401.484791487033</v>
      </c>
      <c r="V26" s="217">
        <f t="shared" si="16"/>
        <v>95057.544183146514</v>
      </c>
      <c r="W26" s="217">
        <f t="shared" si="16"/>
        <v>98859.845950472372</v>
      </c>
      <c r="X26" s="217">
        <f t="shared" si="16"/>
        <v>102814.23978849126</v>
      </c>
      <c r="Y26" s="220">
        <f>SUM(E26:X26)</f>
        <v>1453170.2345007721</v>
      </c>
    </row>
    <row r="27" spans="1:26" x14ac:dyDescent="0.25">
      <c r="A27" s="649"/>
      <c r="B27" s="538"/>
      <c r="C27" s="652"/>
      <c r="D27" s="58" t="s">
        <v>202</v>
      </c>
      <c r="E27" s="217" t="e">
        <f>'Carbon Cost'!#REF!</f>
        <v>#REF!</v>
      </c>
      <c r="F27" s="217" t="e">
        <f t="shared" ref="F27:X27" si="17">E27*(1+$B$5)</f>
        <v>#REF!</v>
      </c>
      <c r="G27" s="217" t="e">
        <f t="shared" si="17"/>
        <v>#REF!</v>
      </c>
      <c r="H27" s="217" t="e">
        <f t="shared" si="17"/>
        <v>#REF!</v>
      </c>
      <c r="I27" s="217" t="e">
        <f t="shared" si="17"/>
        <v>#REF!</v>
      </c>
      <c r="J27" s="217" t="e">
        <f t="shared" si="17"/>
        <v>#REF!</v>
      </c>
      <c r="K27" s="217" t="e">
        <f t="shared" si="17"/>
        <v>#REF!</v>
      </c>
      <c r="L27" s="217" t="e">
        <f t="shared" si="17"/>
        <v>#REF!</v>
      </c>
      <c r="M27" s="217" t="e">
        <f t="shared" si="17"/>
        <v>#REF!</v>
      </c>
      <c r="N27" s="217" t="e">
        <f t="shared" si="17"/>
        <v>#REF!</v>
      </c>
      <c r="O27" s="217" t="e">
        <f t="shared" si="17"/>
        <v>#REF!</v>
      </c>
      <c r="P27" s="217" t="e">
        <f t="shared" si="17"/>
        <v>#REF!</v>
      </c>
      <c r="Q27" s="217" t="e">
        <f t="shared" si="17"/>
        <v>#REF!</v>
      </c>
      <c r="R27" s="217" t="e">
        <f t="shared" si="17"/>
        <v>#REF!</v>
      </c>
      <c r="S27" s="217" t="e">
        <f t="shared" si="17"/>
        <v>#REF!</v>
      </c>
      <c r="T27" s="217" t="e">
        <f t="shared" si="17"/>
        <v>#REF!</v>
      </c>
      <c r="U27" s="217" t="e">
        <f t="shared" si="17"/>
        <v>#REF!</v>
      </c>
      <c r="V27" s="217" t="e">
        <f t="shared" si="17"/>
        <v>#REF!</v>
      </c>
      <c r="W27" s="217" t="e">
        <f t="shared" si="17"/>
        <v>#REF!</v>
      </c>
      <c r="X27" s="217" t="e">
        <f t="shared" si="17"/>
        <v>#REF!</v>
      </c>
      <c r="Y27" s="232" t="e">
        <f>SUM(E27:X27)</f>
        <v>#REF!</v>
      </c>
    </row>
    <row r="28" spans="1:26" x14ac:dyDescent="0.25">
      <c r="A28" s="649"/>
      <c r="B28" s="539"/>
      <c r="C28" s="653"/>
      <c r="D28" s="58" t="s">
        <v>203</v>
      </c>
      <c r="E28" s="217" t="e">
        <f t="shared" ref="E28:X28" si="18">SUM(E25:E27)</f>
        <v>#REF!</v>
      </c>
      <c r="F28" s="217" t="e">
        <f t="shared" si="18"/>
        <v>#REF!</v>
      </c>
      <c r="G28" s="217" t="e">
        <f t="shared" si="18"/>
        <v>#REF!</v>
      </c>
      <c r="H28" s="217" t="e">
        <f t="shared" si="18"/>
        <v>#REF!</v>
      </c>
      <c r="I28" s="217" t="e">
        <f t="shared" si="18"/>
        <v>#REF!</v>
      </c>
      <c r="J28" s="217" t="e">
        <f t="shared" si="18"/>
        <v>#REF!</v>
      </c>
      <c r="K28" s="217" t="e">
        <f t="shared" si="18"/>
        <v>#REF!</v>
      </c>
      <c r="L28" s="217" t="e">
        <f t="shared" si="18"/>
        <v>#REF!</v>
      </c>
      <c r="M28" s="217" t="e">
        <f t="shared" si="18"/>
        <v>#REF!</v>
      </c>
      <c r="N28" s="217" t="e">
        <f t="shared" si="18"/>
        <v>#REF!</v>
      </c>
      <c r="O28" s="217" t="e">
        <f t="shared" si="18"/>
        <v>#REF!</v>
      </c>
      <c r="P28" s="217" t="e">
        <f t="shared" si="18"/>
        <v>#REF!</v>
      </c>
      <c r="Q28" s="217" t="e">
        <f t="shared" si="18"/>
        <v>#REF!</v>
      </c>
      <c r="R28" s="217" t="e">
        <f t="shared" si="18"/>
        <v>#REF!</v>
      </c>
      <c r="S28" s="217" t="e">
        <f t="shared" si="18"/>
        <v>#REF!</v>
      </c>
      <c r="T28" s="217" t="e">
        <f t="shared" si="18"/>
        <v>#REF!</v>
      </c>
      <c r="U28" s="217" t="e">
        <f t="shared" si="18"/>
        <v>#REF!</v>
      </c>
      <c r="V28" s="217" t="e">
        <f t="shared" si="18"/>
        <v>#REF!</v>
      </c>
      <c r="W28" s="217" t="e">
        <f t="shared" si="18"/>
        <v>#REF!</v>
      </c>
      <c r="X28" s="217" t="e">
        <f t="shared" si="18"/>
        <v>#REF!</v>
      </c>
      <c r="Y28" s="220" t="e">
        <f>SUM(C28:X28)</f>
        <v>#REF!</v>
      </c>
    </row>
    <row r="29" spans="1:26" ht="15.75" thickBot="1" x14ac:dyDescent="0.3">
      <c r="A29" s="650"/>
      <c r="B29" s="101" t="s">
        <v>189</v>
      </c>
      <c r="C29" s="229">
        <f>C25</f>
        <v>9656741.1111111119</v>
      </c>
      <c r="D29" s="101" t="s">
        <v>189</v>
      </c>
      <c r="E29" s="228" t="e">
        <f t="shared" ref="E29:X29" si="19">-PV($B$2,E$8,0,E28,0)</f>
        <v>#REF!</v>
      </c>
      <c r="F29" s="228" t="e">
        <f t="shared" si="19"/>
        <v>#REF!</v>
      </c>
      <c r="G29" s="228" t="e">
        <f t="shared" si="19"/>
        <v>#REF!</v>
      </c>
      <c r="H29" s="228" t="e">
        <f t="shared" si="19"/>
        <v>#REF!</v>
      </c>
      <c r="I29" s="228" t="e">
        <f t="shared" si="19"/>
        <v>#REF!</v>
      </c>
      <c r="J29" s="228" t="e">
        <f t="shared" si="19"/>
        <v>#REF!</v>
      </c>
      <c r="K29" s="228" t="e">
        <f t="shared" si="19"/>
        <v>#REF!</v>
      </c>
      <c r="L29" s="228" t="e">
        <f t="shared" si="19"/>
        <v>#REF!</v>
      </c>
      <c r="M29" s="228" t="e">
        <f t="shared" si="19"/>
        <v>#REF!</v>
      </c>
      <c r="N29" s="228" t="e">
        <f t="shared" si="19"/>
        <v>#REF!</v>
      </c>
      <c r="O29" s="228" t="e">
        <f t="shared" si="19"/>
        <v>#REF!</v>
      </c>
      <c r="P29" s="228" t="e">
        <f t="shared" si="19"/>
        <v>#REF!</v>
      </c>
      <c r="Q29" s="228" t="e">
        <f t="shared" si="19"/>
        <v>#REF!</v>
      </c>
      <c r="R29" s="228" t="e">
        <f t="shared" si="19"/>
        <v>#REF!</v>
      </c>
      <c r="S29" s="228" t="e">
        <f t="shared" si="19"/>
        <v>#REF!</v>
      </c>
      <c r="T29" s="228" t="e">
        <f t="shared" si="19"/>
        <v>#REF!</v>
      </c>
      <c r="U29" s="228" t="e">
        <f t="shared" si="19"/>
        <v>#REF!</v>
      </c>
      <c r="V29" s="228" t="e">
        <f t="shared" si="19"/>
        <v>#REF!</v>
      </c>
      <c r="W29" s="228" t="e">
        <f t="shared" si="19"/>
        <v>#REF!</v>
      </c>
      <c r="X29" s="228" t="e">
        <f t="shared" si="19"/>
        <v>#REF!</v>
      </c>
      <c r="Y29" s="234" t="e">
        <f>SUM(C29:X29)</f>
        <v>#REF!</v>
      </c>
      <c r="Z29" t="s">
        <v>198</v>
      </c>
    </row>
    <row r="30" spans="1:26" x14ac:dyDescent="0.25">
      <c r="A30" s="651" t="s">
        <v>197</v>
      </c>
      <c r="B30" s="648" t="s">
        <v>188</v>
      </c>
      <c r="C30" s="654">
        <f>'Capital Cost'!F16</f>
        <v>12281096.666666668</v>
      </c>
      <c r="D30" s="62" t="s">
        <v>200</v>
      </c>
      <c r="E30" s="236" t="e">
        <f>#REF!</f>
        <v>#REF!</v>
      </c>
      <c r="F30" s="236" t="e">
        <f t="shared" ref="F30:X30" si="20">E30*(1+$B$3)</f>
        <v>#REF!</v>
      </c>
      <c r="G30" s="236" t="e">
        <f t="shared" si="20"/>
        <v>#REF!</v>
      </c>
      <c r="H30" s="236" t="e">
        <f t="shared" si="20"/>
        <v>#REF!</v>
      </c>
      <c r="I30" s="236" t="e">
        <f t="shared" si="20"/>
        <v>#REF!</v>
      </c>
      <c r="J30" s="236" t="e">
        <f t="shared" si="20"/>
        <v>#REF!</v>
      </c>
      <c r="K30" s="236" t="e">
        <f t="shared" si="20"/>
        <v>#REF!</v>
      </c>
      <c r="L30" s="236" t="e">
        <f t="shared" si="20"/>
        <v>#REF!</v>
      </c>
      <c r="M30" s="236" t="e">
        <f t="shared" si="20"/>
        <v>#REF!</v>
      </c>
      <c r="N30" s="236" t="e">
        <f t="shared" si="20"/>
        <v>#REF!</v>
      </c>
      <c r="O30" s="236" t="e">
        <f t="shared" si="20"/>
        <v>#REF!</v>
      </c>
      <c r="P30" s="236" t="e">
        <f t="shared" si="20"/>
        <v>#REF!</v>
      </c>
      <c r="Q30" s="236" t="e">
        <f t="shared" si="20"/>
        <v>#REF!</v>
      </c>
      <c r="R30" s="236" t="e">
        <f t="shared" si="20"/>
        <v>#REF!</v>
      </c>
      <c r="S30" s="236" t="e">
        <f t="shared" si="20"/>
        <v>#REF!</v>
      </c>
      <c r="T30" s="236" t="e">
        <f t="shared" si="20"/>
        <v>#REF!</v>
      </c>
      <c r="U30" s="236" t="e">
        <f t="shared" si="20"/>
        <v>#REF!</v>
      </c>
      <c r="V30" s="236" t="e">
        <f t="shared" si="20"/>
        <v>#REF!</v>
      </c>
      <c r="W30" s="236" t="e">
        <f t="shared" si="20"/>
        <v>#REF!</v>
      </c>
      <c r="X30" s="236" t="e">
        <f t="shared" si="20"/>
        <v>#REF!</v>
      </c>
      <c r="Y30" s="237" t="e">
        <f>SUM(E30:X30)</f>
        <v>#REF!</v>
      </c>
    </row>
    <row r="31" spans="1:26" x14ac:dyDescent="0.25">
      <c r="A31" s="649"/>
      <c r="B31" s="538"/>
      <c r="C31" s="652"/>
      <c r="D31" s="58" t="s">
        <v>201</v>
      </c>
      <c r="E31" s="217">
        <f>'Annual Maintenance Cost'!F9</f>
        <v>48800</v>
      </c>
      <c r="F31" s="217">
        <f t="shared" ref="F31:X31" si="21">E31*(1+$B$4)</f>
        <v>50752</v>
      </c>
      <c r="G31" s="217">
        <f t="shared" si="21"/>
        <v>52782.080000000002</v>
      </c>
      <c r="H31" s="217">
        <f t="shared" si="21"/>
        <v>54893.363200000007</v>
      </c>
      <c r="I31" s="217">
        <f t="shared" si="21"/>
        <v>57089.097728000008</v>
      </c>
      <c r="J31" s="217">
        <f t="shared" si="21"/>
        <v>59372.661637120007</v>
      </c>
      <c r="K31" s="217">
        <f t="shared" si="21"/>
        <v>61747.568102604811</v>
      </c>
      <c r="L31" s="217">
        <f t="shared" si="21"/>
        <v>64217.470826709003</v>
      </c>
      <c r="M31" s="217">
        <f t="shared" si="21"/>
        <v>66786.16965977737</v>
      </c>
      <c r="N31" s="217">
        <f t="shared" si="21"/>
        <v>69457.616446168468</v>
      </c>
      <c r="O31" s="217">
        <f t="shared" si="21"/>
        <v>72235.921104015215</v>
      </c>
      <c r="P31" s="217">
        <f t="shared" si="21"/>
        <v>75125.357948175821</v>
      </c>
      <c r="Q31" s="217">
        <f t="shared" si="21"/>
        <v>78130.372266102859</v>
      </c>
      <c r="R31" s="217">
        <f t="shared" si="21"/>
        <v>81255.587156746973</v>
      </c>
      <c r="S31" s="217">
        <f t="shared" si="21"/>
        <v>84505.810643016855</v>
      </c>
      <c r="T31" s="217">
        <f t="shared" si="21"/>
        <v>87886.043068737534</v>
      </c>
      <c r="U31" s="217">
        <f t="shared" si="21"/>
        <v>91401.484791487033</v>
      </c>
      <c r="V31" s="217">
        <f t="shared" si="21"/>
        <v>95057.544183146514</v>
      </c>
      <c r="W31" s="217">
        <f t="shared" si="21"/>
        <v>98859.845950472372</v>
      </c>
      <c r="X31" s="217">
        <f t="shared" si="21"/>
        <v>102814.23978849126</v>
      </c>
      <c r="Y31" s="220">
        <f>SUM(E31:X31)</f>
        <v>1453170.2345007721</v>
      </c>
    </row>
    <row r="32" spans="1:26" x14ac:dyDescent="0.25">
      <c r="A32" s="649"/>
      <c r="B32" s="538"/>
      <c r="C32" s="652"/>
      <c r="D32" s="58" t="s">
        <v>202</v>
      </c>
      <c r="E32" s="217" t="e">
        <f>'Carbon Cost'!#REF!</f>
        <v>#REF!</v>
      </c>
      <c r="F32" s="217" t="e">
        <f t="shared" ref="F32:X32" si="22">E32*(1+$B$5)</f>
        <v>#REF!</v>
      </c>
      <c r="G32" s="217" t="e">
        <f t="shared" si="22"/>
        <v>#REF!</v>
      </c>
      <c r="H32" s="217" t="e">
        <f t="shared" si="22"/>
        <v>#REF!</v>
      </c>
      <c r="I32" s="217" t="e">
        <f t="shared" si="22"/>
        <v>#REF!</v>
      </c>
      <c r="J32" s="217" t="e">
        <f t="shared" si="22"/>
        <v>#REF!</v>
      </c>
      <c r="K32" s="217" t="e">
        <f t="shared" si="22"/>
        <v>#REF!</v>
      </c>
      <c r="L32" s="217" t="e">
        <f t="shared" si="22"/>
        <v>#REF!</v>
      </c>
      <c r="M32" s="217" t="e">
        <f t="shared" si="22"/>
        <v>#REF!</v>
      </c>
      <c r="N32" s="217" t="e">
        <f t="shared" si="22"/>
        <v>#REF!</v>
      </c>
      <c r="O32" s="217" t="e">
        <f t="shared" si="22"/>
        <v>#REF!</v>
      </c>
      <c r="P32" s="217" t="e">
        <f t="shared" si="22"/>
        <v>#REF!</v>
      </c>
      <c r="Q32" s="217" t="e">
        <f t="shared" si="22"/>
        <v>#REF!</v>
      </c>
      <c r="R32" s="217" t="e">
        <f t="shared" si="22"/>
        <v>#REF!</v>
      </c>
      <c r="S32" s="217" t="e">
        <f t="shared" si="22"/>
        <v>#REF!</v>
      </c>
      <c r="T32" s="217" t="e">
        <f t="shared" si="22"/>
        <v>#REF!</v>
      </c>
      <c r="U32" s="217" t="e">
        <f t="shared" si="22"/>
        <v>#REF!</v>
      </c>
      <c r="V32" s="217" t="e">
        <f t="shared" si="22"/>
        <v>#REF!</v>
      </c>
      <c r="W32" s="217" t="e">
        <f t="shared" si="22"/>
        <v>#REF!</v>
      </c>
      <c r="X32" s="217" t="e">
        <f t="shared" si="22"/>
        <v>#REF!</v>
      </c>
      <c r="Y32" s="232" t="e">
        <f>SUM(E32:X32)</f>
        <v>#REF!</v>
      </c>
    </row>
    <row r="33" spans="1:26" x14ac:dyDescent="0.25">
      <c r="A33" s="649"/>
      <c r="B33" s="539"/>
      <c r="C33" s="653"/>
      <c r="D33" s="58" t="s">
        <v>203</v>
      </c>
      <c r="E33" s="217" t="e">
        <f t="shared" ref="E33:X33" si="23">SUM(E30:E32)</f>
        <v>#REF!</v>
      </c>
      <c r="F33" s="217" t="e">
        <f t="shared" si="23"/>
        <v>#REF!</v>
      </c>
      <c r="G33" s="217" t="e">
        <f t="shared" si="23"/>
        <v>#REF!</v>
      </c>
      <c r="H33" s="217" t="e">
        <f t="shared" si="23"/>
        <v>#REF!</v>
      </c>
      <c r="I33" s="217" t="e">
        <f t="shared" si="23"/>
        <v>#REF!</v>
      </c>
      <c r="J33" s="217" t="e">
        <f t="shared" si="23"/>
        <v>#REF!</v>
      </c>
      <c r="K33" s="217" t="e">
        <f t="shared" si="23"/>
        <v>#REF!</v>
      </c>
      <c r="L33" s="217" t="e">
        <f t="shared" si="23"/>
        <v>#REF!</v>
      </c>
      <c r="M33" s="217" t="e">
        <f t="shared" si="23"/>
        <v>#REF!</v>
      </c>
      <c r="N33" s="217" t="e">
        <f t="shared" si="23"/>
        <v>#REF!</v>
      </c>
      <c r="O33" s="217" t="e">
        <f t="shared" si="23"/>
        <v>#REF!</v>
      </c>
      <c r="P33" s="217" t="e">
        <f t="shared" si="23"/>
        <v>#REF!</v>
      </c>
      <c r="Q33" s="217" t="e">
        <f t="shared" si="23"/>
        <v>#REF!</v>
      </c>
      <c r="R33" s="217" t="e">
        <f t="shared" si="23"/>
        <v>#REF!</v>
      </c>
      <c r="S33" s="217" t="e">
        <f t="shared" si="23"/>
        <v>#REF!</v>
      </c>
      <c r="T33" s="217" t="e">
        <f t="shared" si="23"/>
        <v>#REF!</v>
      </c>
      <c r="U33" s="217" t="e">
        <f t="shared" si="23"/>
        <v>#REF!</v>
      </c>
      <c r="V33" s="217" t="e">
        <f t="shared" si="23"/>
        <v>#REF!</v>
      </c>
      <c r="W33" s="217" t="e">
        <f t="shared" si="23"/>
        <v>#REF!</v>
      </c>
      <c r="X33" s="217" t="e">
        <f t="shared" si="23"/>
        <v>#REF!</v>
      </c>
      <c r="Y33" s="220" t="e">
        <f>SUM(C33:X33)</f>
        <v>#REF!</v>
      </c>
    </row>
    <row r="34" spans="1:26" ht="15.75" thickBot="1" x14ac:dyDescent="0.3">
      <c r="A34" s="650"/>
      <c r="B34" s="101" t="s">
        <v>189</v>
      </c>
      <c r="C34" s="229">
        <f>C30</f>
        <v>12281096.666666668</v>
      </c>
      <c r="D34" s="101" t="s">
        <v>189</v>
      </c>
      <c r="E34" s="228" t="e">
        <f t="shared" ref="E34:X34" si="24">-PV($B$2,E$8,0,E33,0)</f>
        <v>#REF!</v>
      </c>
      <c r="F34" s="228" t="e">
        <f t="shared" si="24"/>
        <v>#REF!</v>
      </c>
      <c r="G34" s="228" t="e">
        <f t="shared" si="24"/>
        <v>#REF!</v>
      </c>
      <c r="H34" s="228" t="e">
        <f t="shared" si="24"/>
        <v>#REF!</v>
      </c>
      <c r="I34" s="228" t="e">
        <f t="shared" si="24"/>
        <v>#REF!</v>
      </c>
      <c r="J34" s="228" t="e">
        <f t="shared" si="24"/>
        <v>#REF!</v>
      </c>
      <c r="K34" s="228" t="e">
        <f t="shared" si="24"/>
        <v>#REF!</v>
      </c>
      <c r="L34" s="228" t="e">
        <f t="shared" si="24"/>
        <v>#REF!</v>
      </c>
      <c r="M34" s="228" t="e">
        <f t="shared" si="24"/>
        <v>#REF!</v>
      </c>
      <c r="N34" s="228" t="e">
        <f t="shared" si="24"/>
        <v>#REF!</v>
      </c>
      <c r="O34" s="228" t="e">
        <f t="shared" si="24"/>
        <v>#REF!</v>
      </c>
      <c r="P34" s="228" t="e">
        <f t="shared" si="24"/>
        <v>#REF!</v>
      </c>
      <c r="Q34" s="228" t="e">
        <f t="shared" si="24"/>
        <v>#REF!</v>
      </c>
      <c r="R34" s="228" t="e">
        <f t="shared" si="24"/>
        <v>#REF!</v>
      </c>
      <c r="S34" s="228" t="e">
        <f t="shared" si="24"/>
        <v>#REF!</v>
      </c>
      <c r="T34" s="228" t="e">
        <f t="shared" si="24"/>
        <v>#REF!</v>
      </c>
      <c r="U34" s="228" t="e">
        <f t="shared" si="24"/>
        <v>#REF!</v>
      </c>
      <c r="V34" s="228" t="e">
        <f t="shared" si="24"/>
        <v>#REF!</v>
      </c>
      <c r="W34" s="228" t="e">
        <f t="shared" si="24"/>
        <v>#REF!</v>
      </c>
      <c r="X34" s="228" t="e">
        <f t="shared" si="24"/>
        <v>#REF!</v>
      </c>
      <c r="Y34" s="234" t="e">
        <f>SUM(C34:X34)</f>
        <v>#REF!</v>
      </c>
      <c r="Z34" t="s">
        <v>198</v>
      </c>
    </row>
  </sheetData>
  <mergeCells count="21">
    <mergeCell ref="A30:A34"/>
    <mergeCell ref="B30:B33"/>
    <mergeCell ref="C30:C33"/>
    <mergeCell ref="A20:A24"/>
    <mergeCell ref="B20:B23"/>
    <mergeCell ref="C20:C23"/>
    <mergeCell ref="A25:A29"/>
    <mergeCell ref="B25:B28"/>
    <mergeCell ref="C25:C28"/>
    <mergeCell ref="A10:A14"/>
    <mergeCell ref="B10:B13"/>
    <mergeCell ref="C10:C13"/>
    <mergeCell ref="A15:A19"/>
    <mergeCell ref="B15:B18"/>
    <mergeCell ref="C15:C18"/>
    <mergeCell ref="A1:B1"/>
    <mergeCell ref="A7:Y7"/>
    <mergeCell ref="A8:A9"/>
    <mergeCell ref="B8:B9"/>
    <mergeCell ref="D8:D9"/>
    <mergeCell ref="Y8:Y9"/>
  </mergeCells>
  <pageMargins left="0.7" right="0.7" top="0.75" bottom="0.75" header="0.3" footer="0.3"/>
  <pageSetup paperSize="3" scale="6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dimension ref="B2:M14"/>
  <sheetViews>
    <sheetView topLeftCell="A2" zoomScaleNormal="100" workbookViewId="0">
      <selection activeCell="I25" sqref="I25"/>
    </sheetView>
  </sheetViews>
  <sheetFormatPr defaultRowHeight="15" x14ac:dyDescent="0.25"/>
  <cols>
    <col min="2" max="2" width="28.85546875" bestFit="1" customWidth="1"/>
    <col min="3" max="3" width="7.5703125" customWidth="1"/>
    <col min="4" max="4" width="17.28515625" customWidth="1"/>
    <col min="5" max="5" width="13.5703125" customWidth="1"/>
    <col min="6" max="6" width="15.7109375" customWidth="1"/>
    <col min="7" max="7" width="19" customWidth="1"/>
    <col min="8" max="8" width="15.7109375" customWidth="1"/>
    <col min="9" max="9" width="16.7109375" customWidth="1"/>
    <col min="10" max="10" width="19" customWidth="1"/>
    <col min="11" max="11" width="11.28515625" customWidth="1"/>
    <col min="12" max="12" width="14.85546875" customWidth="1"/>
    <col min="13" max="13" width="15.85546875" customWidth="1"/>
  </cols>
  <sheetData>
    <row r="2" spans="2:13" x14ac:dyDescent="0.25">
      <c r="B2" s="112" t="s">
        <v>279</v>
      </c>
      <c r="C2" s="308">
        <v>1500</v>
      </c>
    </row>
    <row r="3" spans="2:13" x14ac:dyDescent="0.25">
      <c r="B3" s="112" t="s">
        <v>280</v>
      </c>
      <c r="C3" s="308">
        <f>15/1000</f>
        <v>1.4999999999999999E-2</v>
      </c>
      <c r="G3" s="8"/>
    </row>
    <row r="6" spans="2:13" ht="75" x14ac:dyDescent="0.25">
      <c r="B6" s="527" t="s">
        <v>23</v>
      </c>
      <c r="C6" s="527"/>
      <c r="D6" s="527"/>
      <c r="E6" s="69" t="s">
        <v>76</v>
      </c>
      <c r="F6" s="69" t="s">
        <v>329</v>
      </c>
      <c r="G6" s="69" t="s">
        <v>283</v>
      </c>
      <c r="H6" s="69" t="s">
        <v>77</v>
      </c>
      <c r="I6" s="69" t="s">
        <v>285</v>
      </c>
      <c r="J6" s="69" t="s">
        <v>284</v>
      </c>
      <c r="K6" s="69" t="s">
        <v>290</v>
      </c>
      <c r="L6" s="69" t="s">
        <v>291</v>
      </c>
      <c r="M6" s="69" t="s">
        <v>292</v>
      </c>
    </row>
    <row r="7" spans="2:13" x14ac:dyDescent="0.25">
      <c r="B7" s="623" t="s">
        <v>286</v>
      </c>
      <c r="C7" s="623"/>
      <c r="D7" s="623"/>
      <c r="E7" s="307" t="e">
        <f>#REF!</f>
        <v>#REF!</v>
      </c>
      <c r="F7" s="307" t="e">
        <f>E7/$C$2</f>
        <v>#REF!</v>
      </c>
      <c r="G7" s="307" t="e">
        <f>F7/$C$3</f>
        <v>#REF!</v>
      </c>
      <c r="H7" s="307" t="e">
        <f>#REF!</f>
        <v>#REF!</v>
      </c>
      <c r="I7" s="307" t="e">
        <f>H7/$C$2</f>
        <v>#REF!</v>
      </c>
      <c r="J7" s="307" t="e">
        <f>I7/$C$3</f>
        <v>#REF!</v>
      </c>
      <c r="K7" s="307" t="e">
        <f>E7+H7</f>
        <v>#REF!</v>
      </c>
      <c r="L7" s="307" t="e">
        <f>K7/$C$2</f>
        <v>#REF!</v>
      </c>
      <c r="M7" s="307" t="e">
        <f>L7/$C$3</f>
        <v>#REF!</v>
      </c>
    </row>
    <row r="8" spans="2:13" x14ac:dyDescent="0.25">
      <c r="B8" s="623" t="s">
        <v>287</v>
      </c>
      <c r="C8" s="623"/>
      <c r="D8" s="623"/>
      <c r="E8" s="307" t="e">
        <f>#REF!</f>
        <v>#REF!</v>
      </c>
      <c r="F8" s="307" t="e">
        <f t="shared" ref="F8:F11" si="0">E8/$C$2</f>
        <v>#REF!</v>
      </c>
      <c r="G8" s="307" t="e">
        <f t="shared" ref="G8:G11" si="1">F8/$C$3</f>
        <v>#REF!</v>
      </c>
      <c r="H8" s="307" t="e">
        <f>#REF!</f>
        <v>#REF!</v>
      </c>
      <c r="I8" s="307" t="e">
        <f t="shared" ref="I8:I11" si="2">H8/$C$2</f>
        <v>#REF!</v>
      </c>
      <c r="J8" s="307" t="e">
        <f t="shared" ref="J8:J11" si="3">I8/$C$3</f>
        <v>#REF!</v>
      </c>
      <c r="K8" s="307" t="e">
        <f t="shared" ref="K8:K11" si="4">E8+H8</f>
        <v>#REF!</v>
      </c>
      <c r="L8" s="307" t="e">
        <f t="shared" ref="L8:L11" si="5">K8/$C$2</f>
        <v>#REF!</v>
      </c>
      <c r="M8" s="307" t="e">
        <f t="shared" ref="M8:M11" si="6">L8/$C$3</f>
        <v>#REF!</v>
      </c>
    </row>
    <row r="9" spans="2:13" x14ac:dyDescent="0.25">
      <c r="B9" s="623" t="s">
        <v>1</v>
      </c>
      <c r="C9" s="623"/>
      <c r="D9" s="623"/>
      <c r="E9" s="307" t="e">
        <f>#REF!</f>
        <v>#REF!</v>
      </c>
      <c r="F9" s="307" t="e">
        <f t="shared" si="0"/>
        <v>#REF!</v>
      </c>
      <c r="G9" s="307" t="e">
        <f t="shared" si="1"/>
        <v>#REF!</v>
      </c>
      <c r="H9" s="307" t="e">
        <f>#REF!</f>
        <v>#REF!</v>
      </c>
      <c r="I9" s="307" t="e">
        <f t="shared" si="2"/>
        <v>#REF!</v>
      </c>
      <c r="J9" s="307" t="e">
        <f t="shared" si="3"/>
        <v>#REF!</v>
      </c>
      <c r="K9" s="307" t="e">
        <f t="shared" si="4"/>
        <v>#REF!</v>
      </c>
      <c r="L9" s="307" t="e">
        <f t="shared" si="5"/>
        <v>#REF!</v>
      </c>
      <c r="M9" s="307" t="e">
        <f t="shared" si="6"/>
        <v>#REF!</v>
      </c>
    </row>
    <row r="10" spans="2:13" x14ac:dyDescent="0.25">
      <c r="B10" s="623" t="s">
        <v>0</v>
      </c>
      <c r="C10" s="623"/>
      <c r="D10" s="623"/>
      <c r="E10" s="307" t="e">
        <f>#REF!</f>
        <v>#REF!</v>
      </c>
      <c r="F10" s="307" t="e">
        <f t="shared" si="0"/>
        <v>#REF!</v>
      </c>
      <c r="G10" s="307" t="e">
        <f t="shared" si="1"/>
        <v>#REF!</v>
      </c>
      <c r="H10" s="307" t="e">
        <f>#REF!</f>
        <v>#REF!</v>
      </c>
      <c r="I10" s="307" t="e">
        <f t="shared" si="2"/>
        <v>#REF!</v>
      </c>
      <c r="J10" s="307" t="e">
        <f t="shared" si="3"/>
        <v>#REF!</v>
      </c>
      <c r="K10" s="307" t="e">
        <f t="shared" si="4"/>
        <v>#REF!</v>
      </c>
      <c r="L10" s="307" t="e">
        <f t="shared" si="5"/>
        <v>#REF!</v>
      </c>
      <c r="M10" s="307" t="e">
        <f t="shared" si="6"/>
        <v>#REF!</v>
      </c>
    </row>
    <row r="11" spans="2:13" x14ac:dyDescent="0.25">
      <c r="B11" s="660" t="s">
        <v>2</v>
      </c>
      <c r="C11" s="660"/>
      <c r="D11" s="660"/>
      <c r="E11" s="309" t="e">
        <f>#REF!</f>
        <v>#REF!</v>
      </c>
      <c r="F11" s="309" t="e">
        <f t="shared" si="0"/>
        <v>#REF!</v>
      </c>
      <c r="G11" s="309" t="e">
        <f t="shared" si="1"/>
        <v>#REF!</v>
      </c>
      <c r="H11" s="309" t="e">
        <f>#REF!</f>
        <v>#REF!</v>
      </c>
      <c r="I11" s="309" t="e">
        <f t="shared" si="2"/>
        <v>#REF!</v>
      </c>
      <c r="J11" s="309" t="e">
        <f t="shared" si="3"/>
        <v>#REF!</v>
      </c>
      <c r="K11" s="309" t="e">
        <f t="shared" si="4"/>
        <v>#REF!</v>
      </c>
      <c r="L11" s="309" t="e">
        <f t="shared" si="5"/>
        <v>#REF!</v>
      </c>
      <c r="M11" s="309" t="e">
        <f t="shared" si="6"/>
        <v>#REF!</v>
      </c>
    </row>
    <row r="12" spans="2:13" ht="24.75" customHeight="1" x14ac:dyDescent="0.25">
      <c r="B12" s="657" t="s">
        <v>296</v>
      </c>
      <c r="C12" s="658"/>
      <c r="D12" s="658"/>
      <c r="E12" s="658"/>
      <c r="F12" s="658"/>
      <c r="G12" s="658"/>
      <c r="H12" s="658"/>
      <c r="I12" s="658"/>
      <c r="J12" s="658"/>
      <c r="K12" s="658"/>
      <c r="L12" s="658"/>
      <c r="M12" s="659"/>
    </row>
    <row r="13" spans="2:13" x14ac:dyDescent="0.25">
      <c r="B13" s="312" t="s">
        <v>282</v>
      </c>
      <c r="C13" s="310"/>
      <c r="D13" s="310"/>
      <c r="E13" s="310"/>
      <c r="F13" s="310"/>
      <c r="G13" s="310"/>
      <c r="H13" s="310"/>
      <c r="I13" s="310"/>
      <c r="J13" s="310"/>
      <c r="M13" s="314"/>
    </row>
    <row r="14" spans="2:13" x14ac:dyDescent="0.25">
      <c r="B14" s="313" t="s">
        <v>281</v>
      </c>
      <c r="C14" s="311"/>
      <c r="D14" s="311"/>
      <c r="E14" s="311"/>
      <c r="F14" s="311"/>
      <c r="G14" s="311"/>
      <c r="H14" s="311"/>
      <c r="I14" s="311"/>
      <c r="J14" s="311"/>
      <c r="K14" s="252"/>
      <c r="L14" s="252"/>
      <c r="M14" s="315"/>
    </row>
  </sheetData>
  <mergeCells count="7">
    <mergeCell ref="B12:M12"/>
    <mergeCell ref="B11:D11"/>
    <mergeCell ref="B6:D6"/>
    <mergeCell ref="B7:D7"/>
    <mergeCell ref="B8:D8"/>
    <mergeCell ref="B9:D9"/>
    <mergeCell ref="B10:D10"/>
  </mergeCells>
  <hyperlinks>
    <hyperlink ref="B14" r:id="rId1" xr:uid="{00000000-0004-0000-0F00-000000000000}"/>
    <hyperlink ref="B13" r:id="rId2" xr:uid="{00000000-0004-0000-0F00-000001000000}"/>
  </hyperlinks>
  <pageMargins left="0.7" right="0.7" top="0.75" bottom="0.75" header="0.3" footer="0.3"/>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dimension ref="B2:G8"/>
  <sheetViews>
    <sheetView workbookViewId="0">
      <selection activeCell="K27" sqref="K27"/>
    </sheetView>
  </sheetViews>
  <sheetFormatPr defaultRowHeight="15" x14ac:dyDescent="0.25"/>
  <cols>
    <col min="2" max="5" width="8.7109375" customWidth="1"/>
    <col min="6" max="6" width="10.7109375" customWidth="1"/>
    <col min="7" max="7" width="8.7109375" customWidth="1"/>
  </cols>
  <sheetData>
    <row r="2" spans="2:7" ht="15.75" thickBot="1" x14ac:dyDescent="0.3"/>
    <row r="3" spans="2:7" ht="30" customHeight="1" thickBot="1" x14ac:dyDescent="0.3">
      <c r="B3" s="385"/>
      <c r="C3" s="386"/>
      <c r="D3" s="387" t="s">
        <v>37</v>
      </c>
      <c r="E3" s="387" t="s">
        <v>100</v>
      </c>
      <c r="F3" s="388" t="s">
        <v>311</v>
      </c>
      <c r="G3" s="389" t="s">
        <v>100</v>
      </c>
    </row>
    <row r="4" spans="2:7" ht="16.149999999999999" customHeight="1" x14ac:dyDescent="0.25">
      <c r="B4" s="642" t="s">
        <v>312</v>
      </c>
      <c r="C4" s="390" t="s">
        <v>313</v>
      </c>
      <c r="D4" s="293">
        <v>10.1</v>
      </c>
      <c r="E4" s="391">
        <f>12/D4</f>
        <v>1.1881188118811881</v>
      </c>
      <c r="F4" s="392">
        <v>0.03</v>
      </c>
      <c r="G4" s="393">
        <f>E4/(1-F4)</f>
        <v>1.2248647545166889</v>
      </c>
    </row>
    <row r="5" spans="2:7" ht="16.149999999999999" customHeight="1" thickBot="1" x14ac:dyDescent="0.3">
      <c r="B5" s="644"/>
      <c r="C5" s="394" t="s">
        <v>314</v>
      </c>
      <c r="D5" s="16">
        <v>14</v>
      </c>
      <c r="E5" s="395">
        <f>12/D5</f>
        <v>0.8571428571428571</v>
      </c>
      <c r="F5" s="396">
        <v>0.03</v>
      </c>
      <c r="G5" s="397">
        <f>E5/(1-F5)</f>
        <v>0.88365243004418259</v>
      </c>
    </row>
    <row r="6" spans="2:7" ht="16.149999999999999" customHeight="1" x14ac:dyDescent="0.25">
      <c r="B6" s="642" t="s">
        <v>315</v>
      </c>
      <c r="C6" s="390" t="s">
        <v>313</v>
      </c>
      <c r="D6" s="293"/>
      <c r="E6" s="293">
        <v>0.66</v>
      </c>
      <c r="F6" s="392">
        <v>0.03</v>
      </c>
      <c r="G6" s="393">
        <f>E6/(1-F6)</f>
        <v>0.68041237113402064</v>
      </c>
    </row>
    <row r="7" spans="2:7" ht="16.149999999999999" customHeight="1" thickBot="1" x14ac:dyDescent="0.3">
      <c r="B7" s="644"/>
      <c r="C7" s="394" t="s">
        <v>314</v>
      </c>
      <c r="D7" s="16"/>
      <c r="E7" s="16">
        <v>0.54</v>
      </c>
      <c r="F7" s="396">
        <v>0.03</v>
      </c>
      <c r="G7" s="397">
        <f>E7/(1-F7)</f>
        <v>0.55670103092783507</v>
      </c>
    </row>
    <row r="8" spans="2:7" x14ac:dyDescent="0.25">
      <c r="B8" t="s">
        <v>316</v>
      </c>
    </row>
  </sheetData>
  <mergeCells count="2">
    <mergeCell ref="B4:B5"/>
    <mergeCell ref="B6:B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39"/>
  <sheetViews>
    <sheetView tabSelected="1" zoomScaleNormal="100" zoomScaleSheetLayoutView="90" zoomScalePageLayoutView="80" workbookViewId="0">
      <selection activeCell="Q20" sqref="Q20"/>
    </sheetView>
  </sheetViews>
  <sheetFormatPr defaultRowHeight="15" x14ac:dyDescent="0.25"/>
  <cols>
    <col min="1" max="1" width="20" customWidth="1"/>
    <col min="2" max="2" width="35.42578125" customWidth="1"/>
    <col min="3" max="3" width="19" customWidth="1"/>
    <col min="4" max="4" width="21.85546875" customWidth="1"/>
    <col min="5" max="5" width="17" customWidth="1"/>
    <col min="6" max="6" width="34.5703125" customWidth="1"/>
    <col min="7" max="7" width="13.85546875" customWidth="1"/>
    <col min="8" max="8" width="13.28515625" customWidth="1"/>
    <col min="9" max="9" width="14" bestFit="1" customWidth="1"/>
    <col min="10" max="10" width="5.85546875" bestFit="1" customWidth="1"/>
    <col min="11" max="11" width="3.42578125" customWidth="1"/>
    <col min="12" max="12" width="5.85546875" bestFit="1" customWidth="1"/>
    <col min="13" max="14" width="11.7109375" customWidth="1"/>
    <col min="15" max="15" width="11.28515625" bestFit="1" customWidth="1"/>
    <col min="16" max="16" width="11" bestFit="1" customWidth="1"/>
  </cols>
  <sheetData>
    <row r="1" spans="1:8" x14ac:dyDescent="0.25">
      <c r="A1" s="32" t="s">
        <v>322</v>
      </c>
      <c r="D1" s="32" t="s">
        <v>323</v>
      </c>
    </row>
    <row r="2" spans="1:8" x14ac:dyDescent="0.25">
      <c r="A2" s="511" t="s">
        <v>46</v>
      </c>
      <c r="B2" s="512"/>
      <c r="D2" s="517" t="s">
        <v>48</v>
      </c>
      <c r="E2" s="517"/>
      <c r="F2" s="517"/>
    </row>
    <row r="3" spans="1:8" x14ac:dyDescent="0.25">
      <c r="A3" s="2" t="s">
        <v>57</v>
      </c>
      <c r="B3" s="382" t="s">
        <v>258</v>
      </c>
      <c r="D3" s="518" t="s">
        <v>371</v>
      </c>
      <c r="E3" s="518"/>
      <c r="F3" s="418">
        <v>7.2046666666666662E-2</v>
      </c>
    </row>
    <row r="4" spans="1:8" x14ac:dyDescent="0.25">
      <c r="A4" s="2" t="s">
        <v>58</v>
      </c>
      <c r="B4" s="382" t="s">
        <v>259</v>
      </c>
      <c r="D4" s="518" t="s">
        <v>370</v>
      </c>
      <c r="E4" s="518"/>
      <c r="F4" s="415">
        <v>34.729999999999997</v>
      </c>
      <c r="H4" s="50"/>
    </row>
    <row r="5" spans="1:8" x14ac:dyDescent="0.25">
      <c r="A5" s="104" t="s">
        <v>59</v>
      </c>
      <c r="B5" s="383">
        <v>121000</v>
      </c>
      <c r="D5" s="519"/>
      <c r="E5" s="519"/>
      <c r="F5" s="493"/>
      <c r="H5" s="51"/>
    </row>
    <row r="6" spans="1:8" x14ac:dyDescent="0.25">
      <c r="A6" s="2" t="s">
        <v>47</v>
      </c>
      <c r="B6" s="382">
        <v>5</v>
      </c>
      <c r="C6" s="21"/>
      <c r="D6" s="519"/>
      <c r="E6" s="519"/>
      <c r="F6" s="492"/>
    </row>
    <row r="7" spans="1:8" x14ac:dyDescent="0.25">
      <c r="A7" s="2" t="s">
        <v>332</v>
      </c>
      <c r="B7" s="383">
        <v>113381</v>
      </c>
      <c r="C7" s="21"/>
      <c r="D7" s="519"/>
      <c r="E7" s="519"/>
      <c r="F7" s="491"/>
      <c r="G7" s="105"/>
    </row>
    <row r="8" spans="1:8" x14ac:dyDescent="0.25">
      <c r="A8" s="2" t="s">
        <v>333</v>
      </c>
      <c r="B8" s="416">
        <v>123</v>
      </c>
      <c r="C8" s="21"/>
      <c r="G8" s="105"/>
    </row>
    <row r="9" spans="1:8" x14ac:dyDescent="0.25">
      <c r="A9" s="431"/>
      <c r="B9" s="432"/>
      <c r="C9" s="21"/>
      <c r="G9" s="105"/>
    </row>
    <row r="10" spans="1:8" x14ac:dyDescent="0.25">
      <c r="A10" s="520" t="s">
        <v>181</v>
      </c>
      <c r="B10" s="520"/>
      <c r="C10" s="8" t="s">
        <v>141</v>
      </c>
    </row>
    <row r="12" spans="1:8" x14ac:dyDescent="0.25">
      <c r="A12" s="32" t="s">
        <v>326</v>
      </c>
      <c r="B12" s="32"/>
    </row>
    <row r="13" spans="1:8" x14ac:dyDescent="0.25">
      <c r="A13" s="71"/>
      <c r="B13" s="507" t="s">
        <v>38</v>
      </c>
      <c r="C13" s="508"/>
      <c r="D13" s="69" t="s">
        <v>39</v>
      </c>
      <c r="E13" s="69" t="s">
        <v>40</v>
      </c>
      <c r="F13" s="69" t="s">
        <v>41</v>
      </c>
    </row>
    <row r="14" spans="1:8" x14ac:dyDescent="0.25">
      <c r="A14" s="19">
        <v>1</v>
      </c>
      <c r="B14" s="513" t="s">
        <v>42</v>
      </c>
      <c r="C14" s="514"/>
      <c r="D14" s="380" t="s">
        <v>244</v>
      </c>
      <c r="E14" s="380" t="s">
        <v>244</v>
      </c>
      <c r="F14" s="380" t="s">
        <v>243</v>
      </c>
    </row>
    <row r="15" spans="1:8" x14ac:dyDescent="0.25">
      <c r="A15" s="30"/>
      <c r="B15" s="30"/>
    </row>
    <row r="16" spans="1:8" x14ac:dyDescent="0.25">
      <c r="A16" s="520" t="s">
        <v>138</v>
      </c>
      <c r="B16" s="520"/>
      <c r="C16" s="520"/>
      <c r="D16" s="380" t="s">
        <v>244</v>
      </c>
    </row>
    <row r="17" spans="1:19" x14ac:dyDescent="0.25">
      <c r="A17" s="31"/>
      <c r="B17" s="31"/>
      <c r="C17" s="31"/>
    </row>
    <row r="18" spans="1:19" x14ac:dyDescent="0.25">
      <c r="A18" s="33" t="s">
        <v>327</v>
      </c>
      <c r="B18" s="33"/>
    </row>
    <row r="19" spans="1:19" ht="17.25" customHeight="1" x14ac:dyDescent="0.25">
      <c r="A19" s="70"/>
      <c r="B19" s="515" t="s">
        <v>38</v>
      </c>
      <c r="C19" s="516"/>
      <c r="D19" s="69" t="s">
        <v>39</v>
      </c>
      <c r="E19" s="69" t="s">
        <v>40</v>
      </c>
      <c r="F19" s="69" t="s">
        <v>41</v>
      </c>
    </row>
    <row r="20" spans="1:19" x14ac:dyDescent="0.25">
      <c r="A20" s="19">
        <v>1</v>
      </c>
      <c r="B20" s="513" t="s">
        <v>137</v>
      </c>
      <c r="C20" s="514"/>
      <c r="D20" s="380">
        <v>1092</v>
      </c>
      <c r="E20" s="380">
        <v>594</v>
      </c>
      <c r="F20" s="380">
        <v>328</v>
      </c>
    </row>
    <row r="21" spans="1:19" x14ac:dyDescent="0.25">
      <c r="A21" s="19">
        <v>2</v>
      </c>
      <c r="B21" s="513" t="s">
        <v>43</v>
      </c>
      <c r="C21" s="514"/>
      <c r="D21" s="380" t="s">
        <v>244</v>
      </c>
      <c r="E21" s="380" t="s">
        <v>244</v>
      </c>
      <c r="F21" s="380" t="s">
        <v>243</v>
      </c>
    </row>
    <row r="22" spans="1:19" x14ac:dyDescent="0.25">
      <c r="A22" s="19">
        <v>3</v>
      </c>
      <c r="B22" s="513" t="s">
        <v>44</v>
      </c>
      <c r="C22" s="514"/>
      <c r="D22" s="380">
        <v>216</v>
      </c>
      <c r="E22" s="380">
        <v>219</v>
      </c>
      <c r="F22" s="380" t="s">
        <v>56</v>
      </c>
    </row>
    <row r="23" spans="1:19" x14ac:dyDescent="0.25">
      <c r="A23" s="19">
        <v>4</v>
      </c>
      <c r="B23" s="513" t="s">
        <v>45</v>
      </c>
      <c r="C23" s="514"/>
      <c r="D23" s="381">
        <v>29387</v>
      </c>
      <c r="E23" s="381">
        <v>29767</v>
      </c>
      <c r="F23" s="381" t="s">
        <v>56</v>
      </c>
    </row>
    <row r="24" spans="1:19" x14ac:dyDescent="0.25">
      <c r="B24" s="34"/>
      <c r="C24" s="34"/>
    </row>
    <row r="25" spans="1:19" x14ac:dyDescent="0.25">
      <c r="A25" s="32" t="s">
        <v>328</v>
      </c>
      <c r="B25" s="32"/>
    </row>
    <row r="26" spans="1:19" ht="27" customHeight="1" x14ac:dyDescent="0.25">
      <c r="A26" s="521" t="s">
        <v>23</v>
      </c>
      <c r="B26" s="522"/>
      <c r="C26" s="507" t="s">
        <v>254</v>
      </c>
      <c r="D26" s="508"/>
      <c r="E26" s="507" t="s">
        <v>255</v>
      </c>
      <c r="F26" s="508"/>
      <c r="G26" s="509" t="s">
        <v>413</v>
      </c>
      <c r="H26" s="509" t="s">
        <v>331</v>
      </c>
      <c r="I26" s="509" t="s">
        <v>330</v>
      </c>
      <c r="J26" s="501" t="s">
        <v>139</v>
      </c>
      <c r="K26" s="502"/>
      <c r="L26" s="503"/>
      <c r="M26" s="507" t="s">
        <v>256</v>
      </c>
      <c r="N26" s="508"/>
      <c r="O26" s="507" t="s">
        <v>257</v>
      </c>
      <c r="P26" s="508"/>
    </row>
    <row r="27" spans="1:19" ht="18" customHeight="1" x14ac:dyDescent="0.25">
      <c r="A27" s="523"/>
      <c r="B27" s="524"/>
      <c r="C27" s="69" t="s">
        <v>252</v>
      </c>
      <c r="D27" s="69" t="s">
        <v>253</v>
      </c>
      <c r="E27" s="69" t="s">
        <v>252</v>
      </c>
      <c r="F27" s="69" t="s">
        <v>253</v>
      </c>
      <c r="G27" s="510"/>
      <c r="H27" s="510"/>
      <c r="I27" s="510"/>
      <c r="J27" s="504"/>
      <c r="K27" s="505"/>
      <c r="L27" s="506"/>
      <c r="M27" s="214" t="s">
        <v>252</v>
      </c>
      <c r="N27" s="69" t="s">
        <v>253</v>
      </c>
      <c r="O27" s="69" t="s">
        <v>252</v>
      </c>
      <c r="P27" s="69" t="s">
        <v>253</v>
      </c>
    </row>
    <row r="28" spans="1:19" x14ac:dyDescent="0.25">
      <c r="A28" s="121" t="s">
        <v>409</v>
      </c>
      <c r="B28" s="121"/>
      <c r="C28" s="215">
        <f>IF($A$37="SCA Standard HVAC System (Air-Source Heat Pump RTUs)",'Capital Cost'!C7,"N/A")</f>
        <v>3680820</v>
      </c>
      <c r="D28" s="215">
        <f>IF($A$37="SCA Standard HVAC System (Air-Source Heat Pump RTUs)",'Capital Cost'!C13,"N/A")</f>
        <v>7381000</v>
      </c>
      <c r="E28" s="215">
        <f>IF($A$37="SCA Standard HVAC System (Air-Source Heat Pump RTUs)",'Annual Maintenance Cost'!C7,"N/A")</f>
        <v>3000</v>
      </c>
      <c r="F28" s="215">
        <f>IF($A$37="SCA Standard HVAC System (Air-Source Heat Pump RTUs)",'Annual Maintenance Cost'!C9,"N/A")</f>
        <v>5000</v>
      </c>
      <c r="G28" s="215">
        <f>IF($A$37="SCA Standard HVAC System (Air-Source Heat Pump RTUs)",'Energy Cost'!M8,"N/A")</f>
        <v>122841.01350166295</v>
      </c>
      <c r="H28" s="484">
        <f>IF($A$37="SCA Standard HVAC System (Air-Source Heat Pump RTUs)",2023,"N/A")</f>
        <v>2023</v>
      </c>
      <c r="I28" s="215">
        <f>IF($A$37="SCA Standard HVAC System (Air-Source Heat Pump RTUs)",'Carbon Cost'!E16,"N/A")</f>
        <v>17788.738006023774</v>
      </c>
      <c r="J28" s="210">
        <f>IF($A$37="SCA Standard HVAC System (Air-Source Heat Pump RTUs)",'System Life Expectancy'!C4,"N/A")</f>
        <v>15</v>
      </c>
      <c r="K28" s="378" t="s">
        <v>310</v>
      </c>
      <c r="L28" s="210">
        <f>IF($A$37="SCA Standard HVAC System (Air-Source Heat Pump RTUs)",'System Life Expectancy'!D4,"N/A")</f>
        <v>19</v>
      </c>
      <c r="M28" s="215">
        <f>IF($A$37="SCA Standard HVAC System (Air-Source Heat Pump RTUs)",'NPV (Low)'!Y14,"N/A")</f>
        <v>5981411.0484408885</v>
      </c>
      <c r="N28" s="215">
        <f>IF($A$37="SCA Standard HVAC System (Air-Source Heat Pump RTUs)",'NPV (High)'!Y14,"N/A")</f>
        <v>9925969.0986842606</v>
      </c>
      <c r="O28" s="210" t="str">
        <f>IF(A37="SCA Standard HVAC System (Air-Source Heat Pump RTUs)",IF(MIN($M$28:$M$31)=M28, "Yes", "No"),"N/A")</f>
        <v>Yes</v>
      </c>
      <c r="P28" s="210" t="str">
        <f>IF(A37="SCA Standard HVAC System (Air-Source Heat Pump RTUs)",IF(MIN($N$28:$N$31)=N28, "Yes", "No"),"N/A")</f>
        <v>Yes</v>
      </c>
      <c r="S28" s="419"/>
    </row>
    <row r="29" spans="1:19" x14ac:dyDescent="0.25">
      <c r="A29" s="526" t="s">
        <v>1</v>
      </c>
      <c r="B29" s="526"/>
      <c r="C29" s="215">
        <f>IF(E21="Yes", 'Capital Cost'!D10, "N/A")</f>
        <v>5127154.8337777779</v>
      </c>
      <c r="D29" s="215">
        <f>IF(E21="Yes", 'Capital Cost'!D16, "N/A")</f>
        <v>11953052.222222222</v>
      </c>
      <c r="E29" s="215">
        <f>IF(E21="Yes", 'Annual Maintenance Cost'!D7, "N/A")</f>
        <v>1220</v>
      </c>
      <c r="F29" s="215">
        <f>IF(E21="Yes", 'Annual Maintenance Cost'!D9, "N/A")</f>
        <v>1830</v>
      </c>
      <c r="G29" s="215">
        <f>IF(E21="Yes",'Energy Cost'!M9, "N/A")</f>
        <v>110300.72691428702</v>
      </c>
      <c r="H29" s="484">
        <f>IF($A$37="SCA Standard HVAC System (Air-Source Heat Pump RTUs)",2023,"N/A")</f>
        <v>2023</v>
      </c>
      <c r="I29" s="215">
        <f>IF(E21="Yes", 'Carbon Cost'!G16, "N/A")</f>
        <v>16571.368581599767</v>
      </c>
      <c r="J29" s="210">
        <f>IF(E21="Yes", 'System Life Expectancy'!C5, "N/A")</f>
        <v>15</v>
      </c>
      <c r="K29" s="210" t="s">
        <v>310</v>
      </c>
      <c r="L29" s="210">
        <f>IF(E21="Yes", 'System Life Expectancy'!D5, "N/A")</f>
        <v>19</v>
      </c>
      <c r="M29" s="215">
        <f>IF(E21="Yes", 'NPV (Low)'!Y19, "N/A")</f>
        <v>7147425.3021114059</v>
      </c>
      <c r="N29" s="215">
        <f>IF(E21="Yes", 'NPV (High)'!Y19, "N/A")</f>
        <v>14167956.60754529</v>
      </c>
      <c r="O29" s="210" t="str">
        <f>IF(E21="yes",IF(MIN($M$28:$M$31)=M29, "Yes", "No"),"N/A")</f>
        <v>No</v>
      </c>
      <c r="P29" s="210" t="str">
        <f>IF(E21="yes",IF(MIN($N$28:$N$31)=N29, "Yes", "No"),"N/A")</f>
        <v>No</v>
      </c>
      <c r="R29" s="420"/>
      <c r="S29" s="419"/>
    </row>
    <row r="30" spans="1:19" x14ac:dyDescent="0.25">
      <c r="A30" s="526" t="s">
        <v>0</v>
      </c>
      <c r="B30" s="526"/>
      <c r="C30" s="215">
        <f>IF(D21="Yes", 'Capital Cost'!E10, "N/A")</f>
        <v>4377914.444444444</v>
      </c>
      <c r="D30" s="215">
        <f>IF(D21="Yes", 'Capital Cost'!E16, "N/A")</f>
        <v>9656741.1111111119</v>
      </c>
      <c r="E30" s="215">
        <f>IF(D21="Yes", 'Annual Maintenance Cost'!E7, "N/A")</f>
        <v>24400</v>
      </c>
      <c r="F30" s="215">
        <f>IF(D21="Yes", 'Annual Maintenance Cost'!E9, "N/A")</f>
        <v>48800</v>
      </c>
      <c r="G30" s="215">
        <f>IF(D21="Yes",'Energy Cost'!M10, "N/A")</f>
        <v>92473.912717863815</v>
      </c>
      <c r="H30" s="484">
        <f>IF($A$37="SCA Standard HVAC System (Air-Source Heat Pump RTUs)",2023,"N/A")</f>
        <v>2023</v>
      </c>
      <c r="I30" s="215">
        <f>IF(D21="Yes", 'Carbon Cost'!H16, "N/A")</f>
        <v>13647.838034312244</v>
      </c>
      <c r="J30" s="210">
        <f>IF(D21="Yes", 'System Life Expectancy'!C6, "N/A")</f>
        <v>15</v>
      </c>
      <c r="K30" s="210" t="s">
        <v>310</v>
      </c>
      <c r="L30" s="210">
        <f>IF(D21="Yes", 'System Life Expectancy'!D6, "N/A")</f>
        <v>19</v>
      </c>
      <c r="M30" s="215">
        <f>IF(D21="Yes", 'NPV (Low)'!Y24, "N/A")</f>
        <v>6441330.0293689808</v>
      </c>
      <c r="N30" s="215">
        <f>IF(D21="Yes", 'NPV (High)'!Y24, "N/A")</f>
        <v>12333115.309329705</v>
      </c>
      <c r="O30" s="210" t="str">
        <f>IF(D21="Yes",IF(MIN($M$28:$M$31)=M30, "Yes", "No"),"N/A")</f>
        <v>No</v>
      </c>
      <c r="P30" s="210" t="str">
        <f>IF(D21="yes",IF(MIN($N$28:$N$31)=N30, "Yes", "No"),"N/A")</f>
        <v>No</v>
      </c>
      <c r="R30" s="420"/>
      <c r="S30" s="419"/>
    </row>
    <row r="31" spans="1:19" x14ac:dyDescent="0.25">
      <c r="A31" s="526" t="s">
        <v>2</v>
      </c>
      <c r="B31" s="526"/>
      <c r="C31" s="215" t="str">
        <f>IF(F21="Yes", 'Capital Cost'!F10, "N/A")</f>
        <v>N/A</v>
      </c>
      <c r="D31" s="215" t="str">
        <f>IF(F21="Yes", 'Capital Cost'!F16, "N/A")</f>
        <v>N/A</v>
      </c>
      <c r="E31" s="215" t="str">
        <f>IF(F21="Yes", 'Annual Maintenance Cost'!F7, "N/A")</f>
        <v>N/A</v>
      </c>
      <c r="F31" s="215" t="str">
        <f>IF(F21="Yes", 'Annual Maintenance Cost'!F9, "N/A")</f>
        <v>N/A</v>
      </c>
      <c r="G31" s="215" t="str">
        <f>IF(F21="Yes",'Energy Cost'!M11, "N/A")</f>
        <v>N/A</v>
      </c>
      <c r="H31" s="379" t="str">
        <f>IF(F21="Yes", 2023, "N/A")</f>
        <v>N/A</v>
      </c>
      <c r="I31" s="215" t="str">
        <f>IF(F21="Yes", 'Carbon Cost'!I16, "N/A")</f>
        <v>N/A</v>
      </c>
      <c r="J31" s="210" t="str">
        <f>IF(F21="Yes", 'System Life Expectancy'!C7, "N/A")</f>
        <v>N/A</v>
      </c>
      <c r="K31" s="210" t="s">
        <v>310</v>
      </c>
      <c r="L31" s="210" t="str">
        <f>IF(F21="Yes", 'System Life Expectancy'!D7, "N/A")</f>
        <v>N/A</v>
      </c>
      <c r="M31" s="215" t="str">
        <f>IF(F21="Yes", 'NPV (Low)'!Y29, "N/A")</f>
        <v>N/A</v>
      </c>
      <c r="N31" s="215" t="str">
        <f>IF(F21="Yes", 'NPV (High)'!Y29, "N/A")</f>
        <v>N/A</v>
      </c>
      <c r="O31" s="210" t="str">
        <f>IF(F21="yes",IF(MIN($M$28:$M$31)=M31, "Yes", "No"),"N/A")</f>
        <v>N/A</v>
      </c>
      <c r="P31" s="210" t="str">
        <f>IF(F21="Yes",IF(MIN($N$28:$N$31)=N31, "Yes", "No"),"N/A")</f>
        <v>N/A</v>
      </c>
      <c r="S31" s="419"/>
    </row>
    <row r="33" spans="1:8" x14ac:dyDescent="0.25">
      <c r="A33" s="520" t="s">
        <v>140</v>
      </c>
      <c r="B33" s="520"/>
      <c r="C33" s="210" t="str">
        <f>IF(O28="No", "Yes", "No")</f>
        <v>No</v>
      </c>
      <c r="D33" s="210" t="str">
        <f>IF(P28="No", "Yes", "No")</f>
        <v>No</v>
      </c>
    </row>
    <row r="34" spans="1:8" x14ac:dyDescent="0.25">
      <c r="C34" s="122" t="s">
        <v>236</v>
      </c>
      <c r="D34" s="122" t="s">
        <v>237</v>
      </c>
    </row>
    <row r="35" spans="1:8" ht="15" customHeight="1" x14ac:dyDescent="0.25">
      <c r="A35" s="32" t="s">
        <v>324</v>
      </c>
    </row>
    <row r="36" spans="1:8" ht="30" x14ac:dyDescent="0.25">
      <c r="A36" s="527" t="s">
        <v>416</v>
      </c>
      <c r="B36" s="527"/>
      <c r="C36" s="69" t="s">
        <v>207</v>
      </c>
      <c r="D36" s="69" t="s">
        <v>251</v>
      </c>
      <c r="E36" s="525" t="s">
        <v>205</v>
      </c>
      <c r="F36" s="525"/>
      <c r="G36" s="69" t="s">
        <v>246</v>
      </c>
      <c r="H36" s="69" t="s">
        <v>249</v>
      </c>
    </row>
    <row r="37" spans="1:8" x14ac:dyDescent="0.25">
      <c r="A37" s="121" t="s">
        <v>409</v>
      </c>
      <c r="B37" s="1"/>
      <c r="C37" s="212">
        <v>450</v>
      </c>
      <c r="D37" s="203">
        <f>B5/C37</f>
        <v>268.88888888888891</v>
      </c>
      <c r="E37" s="121" t="s">
        <v>409</v>
      </c>
      <c r="F37" s="1"/>
      <c r="G37" s="213">
        <v>25</v>
      </c>
      <c r="H37" s="209">
        <f>(G37*B5)/1000</f>
        <v>3025</v>
      </c>
    </row>
    <row r="38" spans="1:8" x14ac:dyDescent="0.25">
      <c r="A38" s="32"/>
    </row>
    <row r="39" spans="1:8" x14ac:dyDescent="0.25">
      <c r="A39" s="32"/>
    </row>
  </sheetData>
  <mergeCells count="31">
    <mergeCell ref="C26:D26"/>
    <mergeCell ref="A26:B27"/>
    <mergeCell ref="E36:F36"/>
    <mergeCell ref="B22:C22"/>
    <mergeCell ref="B23:C23"/>
    <mergeCell ref="A29:B29"/>
    <mergeCell ref="A30:B30"/>
    <mergeCell ref="A31:B31"/>
    <mergeCell ref="A36:B36"/>
    <mergeCell ref="A33:B33"/>
    <mergeCell ref="A2:B2"/>
    <mergeCell ref="B20:C20"/>
    <mergeCell ref="B19:C19"/>
    <mergeCell ref="D2:F2"/>
    <mergeCell ref="B21:C21"/>
    <mergeCell ref="D3:E3"/>
    <mergeCell ref="D4:E4"/>
    <mergeCell ref="D5:E5"/>
    <mergeCell ref="D6:E6"/>
    <mergeCell ref="D7:E7"/>
    <mergeCell ref="B13:C13"/>
    <mergeCell ref="B14:C14"/>
    <mergeCell ref="A10:B10"/>
    <mergeCell ref="A16:C16"/>
    <mergeCell ref="J26:L27"/>
    <mergeCell ref="M26:N26"/>
    <mergeCell ref="O26:P26"/>
    <mergeCell ref="E26:F26"/>
    <mergeCell ref="G26:G27"/>
    <mergeCell ref="H26:H27"/>
    <mergeCell ref="I26:I27"/>
  </mergeCells>
  <dataValidations disablePrompts="1" count="2">
    <dataValidation type="list" allowBlank="1" showInputMessage="1" showErrorMessage="1" promptTitle="Yes, No" sqref="D16:D17" xr:uid="{00000000-0002-0000-0100-000000000000}">
      <formula1>"Yes, No"</formula1>
    </dataValidation>
    <dataValidation type="list" allowBlank="1" showInputMessage="1" showErrorMessage="1" sqref="D14:F14 D21:F21" xr:uid="{00000000-0002-0000-0100-000001000000}">
      <formula1>"Yes, No"</formula1>
    </dataValidation>
  </dataValidations>
  <hyperlinks>
    <hyperlink ref="C10" r:id="rId1" xr:uid="{00000000-0004-0000-0100-000000000000}"/>
  </hyperlinks>
  <pageMargins left="0.7" right="0.7" top="0.75" bottom="0.75" header="0.3" footer="0.3"/>
  <pageSetup paperSize="3" scale="86"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C10"/>
  <sheetViews>
    <sheetView view="pageBreakPreview" zoomScale="120" zoomScaleNormal="100" zoomScaleSheetLayoutView="120" workbookViewId="0">
      <selection activeCell="C10" sqref="C10"/>
    </sheetView>
  </sheetViews>
  <sheetFormatPr defaultRowHeight="15" x14ac:dyDescent="0.25"/>
  <cols>
    <col min="1" max="1" width="6.140625" customWidth="1"/>
    <col min="2" max="2" width="44.5703125" bestFit="1" customWidth="1"/>
    <col min="3" max="3" width="13.28515625" bestFit="1" customWidth="1"/>
  </cols>
  <sheetData>
    <row r="1" spans="2:3" ht="15.75" thickBot="1" x14ac:dyDescent="0.3">
      <c r="B1" s="528" t="s">
        <v>228</v>
      </c>
      <c r="C1" s="529"/>
    </row>
    <row r="2" spans="2:3" ht="15.75" thickBot="1" x14ac:dyDescent="0.3">
      <c r="B2" s="325" t="s">
        <v>223</v>
      </c>
      <c r="C2" s="326">
        <f>Summary!B5/Summary!C37</f>
        <v>268.88888888888891</v>
      </c>
    </row>
    <row r="3" spans="2:3" x14ac:dyDescent="0.25">
      <c r="B3" s="325" t="s">
        <v>297</v>
      </c>
      <c r="C3" s="175">
        <f>Summary!B5*Summary!G37/1000</f>
        <v>3025</v>
      </c>
    </row>
    <row r="4" spans="2:3" ht="15.75" thickBot="1" x14ac:dyDescent="0.3">
      <c r="B4" s="374" t="s">
        <v>298</v>
      </c>
      <c r="C4" s="482">
        <f>C3*0.4</f>
        <v>1210</v>
      </c>
    </row>
    <row r="5" spans="2:3" x14ac:dyDescent="0.25">
      <c r="B5" s="325" t="s">
        <v>224</v>
      </c>
      <c r="C5" s="483">
        <f>((C2*12000)/450)/'Baseline Systems'!H19</f>
        <v>717.03703703703718</v>
      </c>
    </row>
    <row r="6" spans="2:3" x14ac:dyDescent="0.25">
      <c r="B6" s="44" t="s">
        <v>225</v>
      </c>
      <c r="C6" s="322">
        <f>C5*'Baseline Systems'!E34/1000</f>
        <v>15.774814814814818</v>
      </c>
    </row>
    <row r="7" spans="2:3" x14ac:dyDescent="0.25">
      <c r="B7" s="44" t="s">
        <v>226</v>
      </c>
      <c r="C7" s="398">
        <f>C3*1000/450/'Baseline Systems'!H19</f>
        <v>672.22222222222229</v>
      </c>
    </row>
    <row r="8" spans="2:3" x14ac:dyDescent="0.25">
      <c r="B8" s="44" t="s">
        <v>227</v>
      </c>
      <c r="C8" s="323">
        <f>C7*'Baseline Systems'!E34/1000</f>
        <v>14.78888888888889</v>
      </c>
    </row>
    <row r="9" spans="2:3" x14ac:dyDescent="0.25">
      <c r="B9" s="44" t="s">
        <v>299</v>
      </c>
      <c r="C9" s="417">
        <f>C4*1000/450/'Baseline Systems'!H19</f>
        <v>268.88888888888886</v>
      </c>
    </row>
    <row r="10" spans="2:3" ht="15.75" thickBot="1" x14ac:dyDescent="0.3">
      <c r="B10" s="38" t="s">
        <v>300</v>
      </c>
      <c r="C10" s="324">
        <f>C9*'Baseline Systems'!E34/1000</f>
        <v>5.9155555555555548</v>
      </c>
    </row>
  </sheetData>
  <mergeCells count="1">
    <mergeCell ref="B1:C1"/>
  </mergeCells>
  <pageMargins left="0.7" right="0.7" top="0.75" bottom="0.75" header="0.3" footer="0.3"/>
  <pageSetup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C64B1-6C4D-4A77-9E92-88F41F534C56}">
  <sheetPr codeName="Sheet19">
    <pageSetUpPr fitToPage="1"/>
  </sheetPr>
  <dimension ref="B2:N73"/>
  <sheetViews>
    <sheetView view="pageBreakPreview" zoomScaleNormal="100" zoomScaleSheetLayoutView="100" workbookViewId="0">
      <selection activeCell="G10" sqref="G10"/>
    </sheetView>
  </sheetViews>
  <sheetFormatPr defaultColWidth="9.140625" defaultRowHeight="15" x14ac:dyDescent="0.25"/>
  <cols>
    <col min="1" max="1" width="7.28515625" customWidth="1"/>
    <col min="2" max="2" width="14.140625" customWidth="1"/>
    <col min="3" max="3" width="12.85546875" bestFit="1" customWidth="1"/>
    <col min="4" max="4" width="20.28515625" bestFit="1" customWidth="1"/>
    <col min="5" max="5" width="20" bestFit="1" customWidth="1"/>
    <col min="6" max="6" width="19.85546875" bestFit="1" customWidth="1"/>
    <col min="7" max="7" width="14" bestFit="1" customWidth="1"/>
    <col min="8" max="8" width="19.5703125" customWidth="1"/>
    <col min="9" max="9" width="9.85546875" customWidth="1"/>
    <col min="10" max="10" width="16.5703125" customWidth="1"/>
    <col min="11" max="11" width="16.28515625" bestFit="1" customWidth="1"/>
    <col min="12" max="12" width="25.28515625" bestFit="1" customWidth="1"/>
    <col min="13" max="13" width="26" bestFit="1" customWidth="1"/>
    <col min="14" max="14" width="13" customWidth="1"/>
  </cols>
  <sheetData>
    <row r="2" spans="2:14" x14ac:dyDescent="0.25">
      <c r="B2" s="511" t="s">
        <v>239</v>
      </c>
      <c r="C2" s="530"/>
      <c r="D2" s="530"/>
      <c r="E2" s="530"/>
      <c r="F2" s="530"/>
      <c r="G2" s="512"/>
      <c r="H2" s="371"/>
    </row>
    <row r="3" spans="2:14" x14ac:dyDescent="0.25">
      <c r="B3" s="507" t="s">
        <v>10</v>
      </c>
      <c r="C3" s="543"/>
      <c r="D3" s="508"/>
      <c r="E3" s="73" t="s">
        <v>374</v>
      </c>
      <c r="F3" s="369" t="s">
        <v>37</v>
      </c>
      <c r="G3" s="69" t="s">
        <v>375</v>
      </c>
      <c r="H3" s="442"/>
    </row>
    <row r="4" spans="2:14" ht="15" customHeight="1" x14ac:dyDescent="0.25">
      <c r="B4" s="532" t="s">
        <v>405</v>
      </c>
      <c r="C4" s="544"/>
      <c r="D4" s="533"/>
      <c r="E4" s="461" t="s">
        <v>384</v>
      </c>
      <c r="F4" s="370">
        <v>9.3000000000000007</v>
      </c>
      <c r="G4" s="5">
        <v>10.4</v>
      </c>
      <c r="H4" s="6"/>
      <c r="J4" s="431"/>
    </row>
    <row r="5" spans="2:14" x14ac:dyDescent="0.25">
      <c r="B5" s="540" t="s">
        <v>404</v>
      </c>
      <c r="C5" s="541"/>
      <c r="D5" s="541"/>
      <c r="E5" s="541"/>
      <c r="F5" s="541"/>
      <c r="G5" s="542"/>
      <c r="H5" s="443"/>
    </row>
    <row r="6" spans="2:14" x14ac:dyDescent="0.25">
      <c r="B6" s="123"/>
      <c r="C6" s="123"/>
      <c r="D6" s="123"/>
      <c r="E6" s="123"/>
      <c r="F6" s="123"/>
      <c r="G6" s="123"/>
      <c r="H6" s="123"/>
    </row>
    <row r="7" spans="2:14" ht="15" customHeight="1" x14ac:dyDescent="0.25">
      <c r="B7" s="525" t="s">
        <v>240</v>
      </c>
      <c r="C7" s="525"/>
      <c r="D7" s="525"/>
      <c r="E7" s="525"/>
      <c r="F7" s="525"/>
      <c r="G7" s="384"/>
      <c r="H7" s="384"/>
      <c r="I7" s="384"/>
      <c r="M7" s="4"/>
    </row>
    <row r="8" spans="2:14" x14ac:dyDescent="0.25">
      <c r="B8" s="515" t="s">
        <v>11</v>
      </c>
      <c r="C8" s="545"/>
      <c r="D8" s="516"/>
      <c r="E8" s="73" t="s">
        <v>374</v>
      </c>
      <c r="F8" s="69" t="s">
        <v>373</v>
      </c>
      <c r="G8" s="442"/>
      <c r="H8" s="442"/>
    </row>
    <row r="9" spans="2:14" ht="15" customHeight="1" x14ac:dyDescent="0.25">
      <c r="B9" s="532" t="s">
        <v>405</v>
      </c>
      <c r="C9" s="544"/>
      <c r="D9" s="533"/>
      <c r="E9" s="5" t="s">
        <v>385</v>
      </c>
      <c r="F9" s="399">
        <v>2.915</v>
      </c>
      <c r="G9" s="449"/>
      <c r="H9" s="6"/>
    </row>
    <row r="10" spans="2:14" ht="39.75" customHeight="1" x14ac:dyDescent="0.25">
      <c r="B10" s="560" t="s">
        <v>414</v>
      </c>
      <c r="C10" s="560"/>
      <c r="D10" s="560"/>
      <c r="E10" s="560"/>
      <c r="F10" s="560"/>
      <c r="G10" s="444"/>
      <c r="H10" s="444"/>
      <c r="K10" s="431"/>
      <c r="L10" s="431"/>
      <c r="M10" s="451"/>
      <c r="N10" s="431"/>
    </row>
    <row r="11" spans="2:14" hidden="1" x14ac:dyDescent="0.25"/>
    <row r="12" spans="2:14" ht="30" hidden="1" customHeight="1" x14ac:dyDescent="0.25">
      <c r="B12" s="69" t="s">
        <v>24</v>
      </c>
      <c r="C12" s="69" t="s">
        <v>26</v>
      </c>
      <c r="D12" s="73" t="s">
        <v>36</v>
      </c>
      <c r="E12" s="73" t="s">
        <v>29</v>
      </c>
      <c r="F12" s="73" t="s">
        <v>30</v>
      </c>
    </row>
    <row r="13" spans="2:14" ht="30" hidden="1" x14ac:dyDescent="0.25">
      <c r="B13" s="531" t="s">
        <v>25</v>
      </c>
      <c r="C13" s="5" t="s">
        <v>27</v>
      </c>
      <c r="D13" s="5" t="s">
        <v>37</v>
      </c>
      <c r="E13" s="11" t="s">
        <v>31</v>
      </c>
      <c r="F13" s="11" t="s">
        <v>33</v>
      </c>
    </row>
    <row r="14" spans="2:14" ht="15" hidden="1" customHeight="1" x14ac:dyDescent="0.25">
      <c r="B14" s="531"/>
      <c r="C14" s="9" t="s">
        <v>28</v>
      </c>
      <c r="D14" s="5" t="s">
        <v>37</v>
      </c>
      <c r="E14" s="11" t="s">
        <v>32</v>
      </c>
      <c r="F14" s="11" t="s">
        <v>34</v>
      </c>
    </row>
    <row r="15" spans="2:14" ht="19.5" hidden="1" customHeight="1" x14ac:dyDescent="0.25">
      <c r="B15" s="546" t="s">
        <v>230</v>
      </c>
      <c r="C15" s="546"/>
      <c r="D15" s="546"/>
      <c r="E15" s="546"/>
      <c r="F15" s="546"/>
    </row>
    <row r="16" spans="2:14" ht="15" customHeight="1" x14ac:dyDescent="0.25">
      <c r="B16" s="124"/>
      <c r="C16" s="124"/>
      <c r="D16" s="124"/>
      <c r="E16" s="124"/>
      <c r="F16" s="124"/>
    </row>
    <row r="17" spans="2:9" ht="15" customHeight="1" x14ac:dyDescent="0.25">
      <c r="B17" s="511" t="s">
        <v>241</v>
      </c>
      <c r="C17" s="530"/>
      <c r="D17" s="530"/>
      <c r="E17" s="530"/>
      <c r="F17" s="530"/>
      <c r="G17" s="530"/>
      <c r="H17" s="530"/>
      <c r="I17" s="371"/>
    </row>
    <row r="18" spans="2:9" ht="24" customHeight="1" x14ac:dyDescent="0.25">
      <c r="B18" s="73" t="s">
        <v>8</v>
      </c>
      <c r="C18" s="525" t="s">
        <v>24</v>
      </c>
      <c r="D18" s="525"/>
      <c r="E18" s="69" t="s">
        <v>380</v>
      </c>
      <c r="F18" s="69" t="s">
        <v>35</v>
      </c>
      <c r="G18" s="69" t="s">
        <v>73</v>
      </c>
      <c r="H18" s="369" t="s">
        <v>98</v>
      </c>
      <c r="I18" s="372"/>
    </row>
    <row r="19" spans="2:9" ht="30" customHeight="1" x14ac:dyDescent="0.25">
      <c r="B19" s="534" t="s">
        <v>40</v>
      </c>
      <c r="C19" s="531" t="s">
        <v>392</v>
      </c>
      <c r="D19" s="531"/>
      <c r="E19" s="7" t="s">
        <v>381</v>
      </c>
      <c r="F19" s="5">
        <v>14.1</v>
      </c>
      <c r="G19" s="5" t="s">
        <v>37</v>
      </c>
      <c r="H19" s="370">
        <v>10</v>
      </c>
      <c r="I19" s="372"/>
    </row>
    <row r="20" spans="2:9" ht="30" customHeight="1" x14ac:dyDescent="0.25">
      <c r="B20" s="535"/>
      <c r="C20" s="532" t="s">
        <v>393</v>
      </c>
      <c r="D20" s="533"/>
      <c r="E20" s="7" t="s">
        <v>301</v>
      </c>
      <c r="F20" s="5">
        <v>3.2</v>
      </c>
      <c r="G20" s="5" t="s">
        <v>74</v>
      </c>
      <c r="H20" s="370">
        <v>10</v>
      </c>
      <c r="I20" s="372"/>
    </row>
    <row r="21" spans="2:9" ht="30" customHeight="1" x14ac:dyDescent="0.25">
      <c r="B21" s="535"/>
      <c r="C21" s="531" t="s">
        <v>394</v>
      </c>
      <c r="D21" s="531"/>
      <c r="E21" s="7" t="s">
        <v>381</v>
      </c>
      <c r="F21" s="5">
        <v>12.1</v>
      </c>
      <c r="G21" s="5" t="s">
        <v>37</v>
      </c>
      <c r="H21" s="370">
        <v>10</v>
      </c>
      <c r="I21" s="372"/>
    </row>
    <row r="22" spans="2:9" ht="45" customHeight="1" x14ac:dyDescent="0.25">
      <c r="B22" s="536"/>
      <c r="C22" s="531" t="s">
        <v>395</v>
      </c>
      <c r="D22" s="531"/>
      <c r="E22" s="7" t="s">
        <v>301</v>
      </c>
      <c r="F22" s="5">
        <v>2.5</v>
      </c>
      <c r="G22" s="5" t="s">
        <v>74</v>
      </c>
      <c r="H22" s="370">
        <v>10</v>
      </c>
      <c r="I22" s="372"/>
    </row>
    <row r="23" spans="2:9" ht="33" customHeight="1" x14ac:dyDescent="0.25">
      <c r="B23" s="537" t="s">
        <v>242</v>
      </c>
      <c r="C23" s="531" t="s">
        <v>388</v>
      </c>
      <c r="D23" s="531"/>
      <c r="E23" s="7" t="s">
        <v>382</v>
      </c>
      <c r="F23" s="5">
        <v>18</v>
      </c>
      <c r="G23" s="5" t="s">
        <v>37</v>
      </c>
      <c r="H23" s="370">
        <v>10</v>
      </c>
      <c r="I23" s="372"/>
    </row>
    <row r="24" spans="2:9" ht="29.25" customHeight="1" x14ac:dyDescent="0.25">
      <c r="B24" s="538"/>
      <c r="C24" s="531" t="s">
        <v>389</v>
      </c>
      <c r="D24" s="531"/>
      <c r="E24" s="7" t="s">
        <v>383</v>
      </c>
      <c r="F24" s="5">
        <v>3.7</v>
      </c>
      <c r="G24" s="5" t="s">
        <v>74</v>
      </c>
      <c r="H24" s="370">
        <v>10</v>
      </c>
      <c r="I24" s="372"/>
    </row>
    <row r="25" spans="2:9" ht="29.25" customHeight="1" x14ac:dyDescent="0.25">
      <c r="B25" s="538"/>
      <c r="C25" s="531" t="s">
        <v>391</v>
      </c>
      <c r="D25" s="531"/>
      <c r="E25" s="7" t="s">
        <v>382</v>
      </c>
      <c r="F25" s="5">
        <v>16.3</v>
      </c>
      <c r="G25" s="5" t="s">
        <v>37</v>
      </c>
      <c r="H25" s="370">
        <v>10</v>
      </c>
      <c r="I25" s="372"/>
    </row>
    <row r="26" spans="2:9" ht="51.75" customHeight="1" x14ac:dyDescent="0.25">
      <c r="B26" s="539"/>
      <c r="C26" s="531" t="s">
        <v>390</v>
      </c>
      <c r="D26" s="531"/>
      <c r="E26" s="7" t="s">
        <v>383</v>
      </c>
      <c r="F26" s="399">
        <v>3.1</v>
      </c>
      <c r="G26" s="5" t="s">
        <v>74</v>
      </c>
      <c r="H26" s="370">
        <v>10</v>
      </c>
      <c r="I26" s="372"/>
    </row>
    <row r="27" spans="2:9" ht="15" customHeight="1" x14ac:dyDescent="0.25">
      <c r="B27" s="564" t="s">
        <v>387</v>
      </c>
      <c r="C27" s="565"/>
      <c r="D27" s="565"/>
      <c r="E27" s="565"/>
      <c r="F27" s="565"/>
      <c r="G27" s="565"/>
      <c r="H27" s="565"/>
      <c r="I27" s="373"/>
    </row>
    <row r="28" spans="2:9" ht="15" customHeight="1" x14ac:dyDescent="0.25">
      <c r="I28" s="6"/>
    </row>
    <row r="29" spans="2:9" ht="30" hidden="1" customHeight="1" x14ac:dyDescent="0.25">
      <c r="B29" s="525" t="s">
        <v>75</v>
      </c>
      <c r="C29" s="525"/>
      <c r="D29" s="107">
        <v>0.8</v>
      </c>
      <c r="I29" s="6"/>
    </row>
    <row r="30" spans="2:9" hidden="1" x14ac:dyDescent="0.25">
      <c r="B30" s="560" t="s">
        <v>238</v>
      </c>
      <c r="C30" s="560"/>
      <c r="D30" s="560"/>
      <c r="I30" s="6"/>
    </row>
    <row r="31" spans="2:9" ht="15" hidden="1" customHeight="1" x14ac:dyDescent="0.25"/>
    <row r="32" spans="2:9" ht="15" customHeight="1" x14ac:dyDescent="0.25">
      <c r="B32" s="566" t="s">
        <v>250</v>
      </c>
      <c r="C32" s="566"/>
      <c r="D32" s="566"/>
      <c r="E32" s="566"/>
      <c r="F32" s="566"/>
    </row>
    <row r="33" spans="2:12" ht="54.75" customHeight="1" x14ac:dyDescent="0.25">
      <c r="B33" s="462" t="s">
        <v>177</v>
      </c>
      <c r="C33" s="462" t="s">
        <v>178</v>
      </c>
      <c r="D33" s="462" t="s">
        <v>179</v>
      </c>
      <c r="E33" s="462" t="s">
        <v>180</v>
      </c>
      <c r="F33" s="462" t="s">
        <v>235</v>
      </c>
    </row>
    <row r="34" spans="2:12" ht="15" customHeight="1" x14ac:dyDescent="0.25">
      <c r="B34" s="463">
        <v>19</v>
      </c>
      <c r="C34" s="464">
        <v>22</v>
      </c>
      <c r="D34" s="464">
        <v>19</v>
      </c>
      <c r="E34" s="464">
        <v>22</v>
      </c>
      <c r="F34" s="464">
        <v>40.200000000000003</v>
      </c>
    </row>
    <row r="35" spans="2:12" ht="32.25" customHeight="1" x14ac:dyDescent="0.25">
      <c r="B35" s="560" t="s">
        <v>379</v>
      </c>
      <c r="C35" s="560"/>
      <c r="D35" s="560"/>
      <c r="E35" s="560"/>
      <c r="F35" s="560"/>
    </row>
    <row r="36" spans="2:12" ht="15" customHeight="1" x14ac:dyDescent="0.25"/>
    <row r="37" spans="2:12" ht="15" customHeight="1" x14ac:dyDescent="0.25"/>
    <row r="38" spans="2:12" ht="15" customHeight="1" x14ac:dyDescent="0.25"/>
    <row r="39" spans="2:12" ht="15" customHeight="1" x14ac:dyDescent="0.25"/>
    <row r="42" spans="2:12" hidden="1" x14ac:dyDescent="0.25">
      <c r="B42" s="561" t="s">
        <v>5</v>
      </c>
      <c r="C42" s="562"/>
      <c r="D42" s="562"/>
      <c r="E42" s="562"/>
      <c r="F42" s="562"/>
      <c r="G42" s="562"/>
      <c r="H42" s="562"/>
      <c r="I42" s="562"/>
      <c r="J42" s="562"/>
      <c r="K42" s="562"/>
      <c r="L42" s="563"/>
    </row>
    <row r="43" spans="2:12" hidden="1" x14ac:dyDescent="0.25">
      <c r="B43" s="550" t="s">
        <v>6</v>
      </c>
      <c r="C43" s="551"/>
      <c r="D43" s="551"/>
      <c r="E43" s="552"/>
      <c r="F43" s="553" t="s">
        <v>7</v>
      </c>
      <c r="G43" s="554"/>
      <c r="H43" s="553" t="s">
        <v>8</v>
      </c>
      <c r="I43" s="554"/>
      <c r="J43" s="36" t="s">
        <v>9</v>
      </c>
      <c r="K43" s="36" t="s">
        <v>10</v>
      </c>
      <c r="L43" s="36" t="s">
        <v>11</v>
      </c>
    </row>
    <row r="44" spans="2:12" ht="30" hidden="1" customHeight="1" x14ac:dyDescent="0.25">
      <c r="B44" s="555" t="s">
        <v>15</v>
      </c>
      <c r="C44" s="556"/>
      <c r="D44" s="556"/>
      <c r="E44" s="557"/>
      <c r="F44" s="558" t="s">
        <v>16</v>
      </c>
      <c r="G44" s="559"/>
      <c r="H44" s="558" t="s">
        <v>18</v>
      </c>
      <c r="I44" s="559"/>
      <c r="J44" s="5" t="s">
        <v>19</v>
      </c>
      <c r="K44" s="5" t="s">
        <v>12</v>
      </c>
      <c r="L44" s="5" t="s">
        <v>20</v>
      </c>
    </row>
    <row r="45" spans="2:12" hidden="1" x14ac:dyDescent="0.25">
      <c r="B45" s="547" t="s">
        <v>14</v>
      </c>
      <c r="C45" s="548"/>
      <c r="D45" s="548"/>
      <c r="E45" s="549"/>
      <c r="F45" s="547" t="s">
        <v>17</v>
      </c>
      <c r="G45" s="549"/>
      <c r="H45" s="547" t="s">
        <v>18</v>
      </c>
      <c r="I45" s="549"/>
      <c r="J45" s="19" t="s">
        <v>19</v>
      </c>
      <c r="K45" s="19" t="s">
        <v>13</v>
      </c>
      <c r="L45" s="19" t="s">
        <v>20</v>
      </c>
    </row>
    <row r="46" spans="2:12" hidden="1" x14ac:dyDescent="0.25">
      <c r="B46" s="105" t="s">
        <v>229</v>
      </c>
      <c r="E46" s="3"/>
      <c r="F46" s="3"/>
    </row>
    <row r="47" spans="2:12" x14ac:dyDescent="0.25">
      <c r="B47" s="6"/>
      <c r="C47" s="6"/>
      <c r="D47" s="6"/>
      <c r="E47" s="6"/>
      <c r="F47" s="6"/>
    </row>
    <row r="50" spans="3:8" x14ac:dyDescent="0.25">
      <c r="G50" s="10"/>
      <c r="H50" s="10"/>
    </row>
    <row r="64" spans="3:8" x14ac:dyDescent="0.25">
      <c r="C64" s="12"/>
    </row>
    <row r="65" spans="2:3" x14ac:dyDescent="0.25">
      <c r="C65" s="6"/>
    </row>
    <row r="67" spans="2:3" x14ac:dyDescent="0.25">
      <c r="B67" s="12"/>
    </row>
    <row r="71" spans="2:3" x14ac:dyDescent="0.25">
      <c r="B71" s="12"/>
    </row>
    <row r="72" spans="2:3" x14ac:dyDescent="0.25">
      <c r="B72" s="12"/>
    </row>
    <row r="73" spans="2:3" x14ac:dyDescent="0.25">
      <c r="B73" s="12"/>
    </row>
  </sheetData>
  <mergeCells count="37">
    <mergeCell ref="B17:H17"/>
    <mergeCell ref="B7:F7"/>
    <mergeCell ref="B10:F10"/>
    <mergeCell ref="B42:L42"/>
    <mergeCell ref="C22:D22"/>
    <mergeCell ref="C24:D24"/>
    <mergeCell ref="C26:D26"/>
    <mergeCell ref="B27:H27"/>
    <mergeCell ref="B29:C29"/>
    <mergeCell ref="B30:D30"/>
    <mergeCell ref="B32:F32"/>
    <mergeCell ref="B35:F35"/>
    <mergeCell ref="B45:E45"/>
    <mergeCell ref="F45:G45"/>
    <mergeCell ref="H45:I45"/>
    <mergeCell ref="B43:E43"/>
    <mergeCell ref="F43:G43"/>
    <mergeCell ref="H43:I43"/>
    <mergeCell ref="B44:E44"/>
    <mergeCell ref="F44:G44"/>
    <mergeCell ref="H44:I44"/>
    <mergeCell ref="B2:G2"/>
    <mergeCell ref="C19:D19"/>
    <mergeCell ref="C20:D20"/>
    <mergeCell ref="C23:D23"/>
    <mergeCell ref="B19:B22"/>
    <mergeCell ref="B23:B26"/>
    <mergeCell ref="C21:D21"/>
    <mergeCell ref="C25:D25"/>
    <mergeCell ref="B5:G5"/>
    <mergeCell ref="B3:D3"/>
    <mergeCell ref="B4:D4"/>
    <mergeCell ref="B8:D8"/>
    <mergeCell ref="B9:D9"/>
    <mergeCell ref="C18:D18"/>
    <mergeCell ref="B13:B14"/>
    <mergeCell ref="B15:F15"/>
  </mergeCells>
  <pageMargins left="0.7" right="0.7" top="0.75" bottom="0.75" header="0.3" footer="0.3"/>
  <pageSetup scale="88" fitToHeight="0" orientation="landscape" r:id="rId1"/>
  <colBreaks count="1" manualBreakCount="1">
    <brk id="10" min="1" max="28"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24ECB-74A7-4907-8CAE-113DD964D690}">
  <sheetPr>
    <pageSetUpPr fitToPage="1"/>
  </sheetPr>
  <dimension ref="B1:P59"/>
  <sheetViews>
    <sheetView view="pageBreakPreview" zoomScaleNormal="100" zoomScaleSheetLayoutView="100" workbookViewId="0">
      <pane xSplit="4" ySplit="4" topLeftCell="E5" activePane="bottomRight" state="frozen"/>
      <selection pane="topRight" activeCell="E1" sqref="E1"/>
      <selection pane="bottomLeft" activeCell="A5" sqref="A5"/>
      <selection pane="bottomRight" activeCell="E5" sqref="E5"/>
    </sheetView>
  </sheetViews>
  <sheetFormatPr defaultRowHeight="15" x14ac:dyDescent="0.25"/>
  <cols>
    <col min="1" max="1" width="4.42578125" customWidth="1"/>
    <col min="2" max="2" width="60.85546875" customWidth="1"/>
    <col min="3" max="3" width="10.85546875" hidden="1" customWidth="1"/>
    <col min="4" max="4" width="14" hidden="1" customWidth="1"/>
    <col min="5" max="5" width="14.28515625" customWidth="1"/>
    <col min="6" max="6" width="9.5703125" customWidth="1"/>
    <col min="7" max="7" width="15.85546875" customWidth="1"/>
    <col min="8" max="9" width="14.140625" hidden="1" customWidth="1"/>
    <col min="10" max="10" width="13.85546875" customWidth="1"/>
    <col min="11" max="11" width="8.7109375" customWidth="1"/>
    <col min="12" max="12" width="16" customWidth="1"/>
    <col min="13" max="13" width="17.7109375" customWidth="1"/>
    <col min="14" max="14" width="14.140625" customWidth="1"/>
    <col min="15" max="15" width="14.140625" hidden="1" customWidth="1"/>
    <col min="16" max="16" width="20.85546875" hidden="1" customWidth="1"/>
    <col min="17" max="17" width="3.7109375" customWidth="1"/>
  </cols>
  <sheetData>
    <row r="1" spans="2:16" ht="15.75" thickBot="1" x14ac:dyDescent="0.3">
      <c r="B1" s="569" t="s">
        <v>48</v>
      </c>
      <c r="C1" s="570"/>
      <c r="D1" s="570"/>
      <c r="E1" s="571"/>
    </row>
    <row r="2" spans="2:16" x14ac:dyDescent="0.25">
      <c r="B2" s="343" t="s">
        <v>372</v>
      </c>
      <c r="C2" s="572">
        <f>Summary!F3</f>
        <v>7.2046666666666662E-2</v>
      </c>
      <c r="D2" s="572"/>
      <c r="E2" s="573"/>
    </row>
    <row r="3" spans="2:16" x14ac:dyDescent="0.25">
      <c r="B3" s="342" t="s">
        <v>370</v>
      </c>
      <c r="C3" s="574">
        <f>Summary!F4</f>
        <v>34.729999999999997</v>
      </c>
      <c r="D3" s="574"/>
      <c r="E3" s="575"/>
    </row>
    <row r="5" spans="2:16" ht="15.75" thickBot="1" x14ac:dyDescent="0.3"/>
    <row r="6" spans="2:16" ht="60" x14ac:dyDescent="0.25">
      <c r="B6" s="576" t="s">
        <v>23</v>
      </c>
      <c r="C6" s="409" t="s">
        <v>76</v>
      </c>
      <c r="D6" s="90" t="s">
        <v>247</v>
      </c>
      <c r="E6" s="567" t="s">
        <v>304</v>
      </c>
      <c r="F6" s="567"/>
      <c r="G6" s="567"/>
      <c r="H6" s="90" t="s">
        <v>77</v>
      </c>
      <c r="I6" s="90" t="s">
        <v>248</v>
      </c>
      <c r="J6" s="567" t="s">
        <v>305</v>
      </c>
      <c r="K6" s="567"/>
      <c r="L6" s="567"/>
      <c r="M6" s="567" t="s">
        <v>318</v>
      </c>
      <c r="N6" s="568"/>
      <c r="O6" s="214" t="s">
        <v>319</v>
      </c>
      <c r="P6" s="69" t="s">
        <v>245</v>
      </c>
    </row>
    <row r="7" spans="2:16" ht="60.75" thickBot="1" x14ac:dyDescent="0.3">
      <c r="B7" s="577"/>
      <c r="C7" s="344"/>
      <c r="D7" s="249"/>
      <c r="E7" s="249" t="s">
        <v>306</v>
      </c>
      <c r="F7" s="249" t="s">
        <v>78</v>
      </c>
      <c r="G7" s="249" t="s">
        <v>307</v>
      </c>
      <c r="H7" s="249" t="s">
        <v>77</v>
      </c>
      <c r="I7" s="249" t="s">
        <v>248</v>
      </c>
      <c r="J7" s="249" t="s">
        <v>306</v>
      </c>
      <c r="K7" s="249" t="s">
        <v>79</v>
      </c>
      <c r="L7" s="249" t="s">
        <v>308</v>
      </c>
      <c r="M7" s="249" t="s">
        <v>321</v>
      </c>
      <c r="N7" s="341" t="s">
        <v>320</v>
      </c>
      <c r="O7" s="214"/>
      <c r="P7" s="69"/>
    </row>
    <row r="8" spans="2:16" ht="15.75" customHeight="1" x14ac:dyDescent="0.25">
      <c r="B8" s="346" t="s">
        <v>409</v>
      </c>
      <c r="C8" s="345">
        <f>'Energy Consumption'!O24</f>
        <v>206196.41025641025</v>
      </c>
      <c r="D8" s="200">
        <f>(C8*3.412)/Summary!$B$5</f>
        <v>5.8143979487179482</v>
      </c>
      <c r="E8" s="216">
        <f>C8*$C$2</f>
        <v>14855.764037606836</v>
      </c>
      <c r="F8" s="201">
        <f>'Energy Demand'!P7</f>
        <v>1163.4615384615386</v>
      </c>
      <c r="G8" s="216">
        <f>F8*$C$3</f>
        <v>40407.019230769234</v>
      </c>
      <c r="H8" s="199">
        <f>'Energy Consumption'!O40</f>
        <v>204919.9827467982</v>
      </c>
      <c r="I8" s="200">
        <f>(H8*3.412)/Summary!$B$5</f>
        <v>5.7784048027444248</v>
      </c>
      <c r="J8" s="216">
        <f>H8*$C$2</f>
        <v>14763.801690297652</v>
      </c>
      <c r="K8" s="201">
        <f>'Energy Demand'!P13</f>
        <v>1520.7149019000642</v>
      </c>
      <c r="L8" s="216">
        <f>K8*$C$3</f>
        <v>52814.428542989226</v>
      </c>
      <c r="M8" s="410">
        <f t="shared" ref="M8:M10" si="0">E8+G8+L8+J8</f>
        <v>122841.01350166295</v>
      </c>
      <c r="N8" s="411">
        <f>M8/Summary!$B$5</f>
        <v>1.0152149876170491</v>
      </c>
      <c r="O8" s="340"/>
      <c r="P8" s="202"/>
    </row>
    <row r="9" spans="2:16" x14ac:dyDescent="0.25">
      <c r="B9" s="346" t="s">
        <v>1</v>
      </c>
      <c r="C9" s="345">
        <f>'Energy Consumption'!X24</f>
        <v>165015.74231048071</v>
      </c>
      <c r="D9" s="200">
        <f>(C9*3.412)/Summary!$B$5</f>
        <v>4.65317117986248</v>
      </c>
      <c r="E9" s="216">
        <f>C9*C2</f>
        <v>11888.834180995766</v>
      </c>
      <c r="F9" s="201">
        <f>'Energy Demand'!P8</f>
        <v>917.31158392435009</v>
      </c>
      <c r="G9" s="216">
        <f>F9*C3</f>
        <v>31858.231309692677</v>
      </c>
      <c r="H9" s="199">
        <f>'Energy Consumption'!X40</f>
        <v>217965.96645868535</v>
      </c>
      <c r="I9" s="200">
        <f>(H9*3.412)/Summary!$B$5</f>
        <v>6.1462799798102017</v>
      </c>
      <c r="J9" s="216">
        <f>H9*C2</f>
        <v>15703.721330126749</v>
      </c>
      <c r="K9" s="201">
        <f>'Energy Demand'!P14</f>
        <v>1464.1503050236636</v>
      </c>
      <c r="L9" s="216">
        <f>K9*C3</f>
        <v>50849.940093471829</v>
      </c>
      <c r="M9" s="410">
        <f t="shared" si="0"/>
        <v>110300.72691428702</v>
      </c>
      <c r="N9" s="411">
        <f>M9/Summary!$B$5</f>
        <v>0.91157625548997534</v>
      </c>
      <c r="O9" s="340" t="e">
        <f>(E9+G9+J9+L9)/(#REF!+#REF!)</f>
        <v>#REF!</v>
      </c>
      <c r="P9" s="202" t="e">
        <f>#REF!-M9</f>
        <v>#REF!</v>
      </c>
    </row>
    <row r="10" spans="2:16" x14ac:dyDescent="0.25">
      <c r="B10" s="346" t="s">
        <v>0</v>
      </c>
      <c r="C10" s="345">
        <f>'Energy Consumption'!AF24</f>
        <v>131096.32710020451</v>
      </c>
      <c r="D10" s="200">
        <f>(C10*3.412)/Summary!$B$5</f>
        <v>3.6966997360817997</v>
      </c>
      <c r="E10" s="216">
        <f>C10*C2</f>
        <v>9445.0533798127326</v>
      </c>
      <c r="F10" s="201">
        <f>'Energy Demand'!P9</f>
        <v>731.37777777777785</v>
      </c>
      <c r="G10" s="216">
        <f>F10*C3</f>
        <v>25400.750222222221</v>
      </c>
      <c r="H10" s="199">
        <f>'Energy Consumption'!AF40</f>
        <v>184319.52438169683</v>
      </c>
      <c r="I10" s="200">
        <f>(H10*3.412)/Summary!$B$5</f>
        <v>5.1975059271929718</v>
      </c>
      <c r="J10" s="216">
        <f>H10*C2</f>
        <v>13279.607333286651</v>
      </c>
      <c r="K10" s="201">
        <f>'Energy Demand'!P15</f>
        <v>1276.9508143548003</v>
      </c>
      <c r="L10" s="216">
        <f>K10*C3</f>
        <v>44348.501782542211</v>
      </c>
      <c r="M10" s="410">
        <f t="shared" si="0"/>
        <v>92473.912717863815</v>
      </c>
      <c r="N10" s="411">
        <f>M10/Summary!$B$5</f>
        <v>0.76424721254432904</v>
      </c>
      <c r="O10" s="340" t="e">
        <f>(E10+G10+J10+L10)/(#REF!+#REF!)</f>
        <v>#REF!</v>
      </c>
      <c r="P10" s="202" t="e">
        <f>#REF!-M10</f>
        <v>#REF!</v>
      </c>
    </row>
    <row r="11" spans="2:16" x14ac:dyDescent="0.25">
      <c r="B11" s="346" t="s">
        <v>2</v>
      </c>
      <c r="C11" s="345">
        <f>C10</f>
        <v>131096.32710020451</v>
      </c>
      <c r="D11" s="200">
        <f>(C11*3.412)/Summary!$B$5</f>
        <v>3.6966997360817997</v>
      </c>
      <c r="E11" s="216">
        <f>C11*C2</f>
        <v>9445.0533798127326</v>
      </c>
      <c r="F11" s="201">
        <f>'Energy Demand'!P10</f>
        <v>731.37777777777785</v>
      </c>
      <c r="G11" s="216">
        <f>F11*C3</f>
        <v>25400.750222222221</v>
      </c>
      <c r="H11" s="199">
        <f>H10</f>
        <v>184319.52438169683</v>
      </c>
      <c r="I11" s="200">
        <f>(H11*3.412)/Summary!$B$5</f>
        <v>5.1975059271929718</v>
      </c>
      <c r="J11" s="216">
        <f>H11*C2</f>
        <v>13279.607333286651</v>
      </c>
      <c r="K11" s="201">
        <f>K10</f>
        <v>1276.9508143548003</v>
      </c>
      <c r="L11" s="216">
        <f>K11*C3</f>
        <v>44348.501782542211</v>
      </c>
      <c r="M11" s="410">
        <f t="shared" ref="M11" si="1">E11+G11+L11+J11</f>
        <v>92473.912717863815</v>
      </c>
      <c r="N11" s="411">
        <f>M11/Summary!$B$5</f>
        <v>0.76424721254432904</v>
      </c>
    </row>
    <row r="14" spans="2:16" x14ac:dyDescent="0.25">
      <c r="E14" s="48"/>
    </row>
    <row r="21" spans="8:10" x14ac:dyDescent="0.25">
      <c r="H21" s="125"/>
      <c r="I21" s="125"/>
      <c r="J21" s="125"/>
    </row>
    <row r="22" spans="8:10" x14ac:dyDescent="0.25">
      <c r="H22" s="125"/>
      <c r="I22" s="125"/>
      <c r="J22" s="125"/>
    </row>
    <row r="24" spans="8:10" x14ac:dyDescent="0.25">
      <c r="I24" s="125"/>
    </row>
    <row r="25" spans="8:10" x14ac:dyDescent="0.25">
      <c r="I25" s="125"/>
    </row>
    <row r="27" spans="8:10" x14ac:dyDescent="0.25">
      <c r="H27" s="125"/>
      <c r="I27" s="125"/>
      <c r="J27" s="125"/>
    </row>
    <row r="30" spans="8:10" x14ac:dyDescent="0.25">
      <c r="H30" s="125"/>
      <c r="I30" s="125"/>
      <c r="J30" s="125"/>
    </row>
    <row r="31" spans="8:10" x14ac:dyDescent="0.25">
      <c r="H31" s="125"/>
      <c r="I31" s="125"/>
      <c r="J31" s="125"/>
    </row>
    <row r="32" spans="8:10" x14ac:dyDescent="0.25">
      <c r="I32" s="125"/>
      <c r="J32" s="125"/>
    </row>
    <row r="33" spans="8:10" x14ac:dyDescent="0.25">
      <c r="I33" s="125"/>
      <c r="J33" s="125"/>
    </row>
    <row r="34" spans="8:10" x14ac:dyDescent="0.25">
      <c r="I34" s="125"/>
    </row>
    <row r="35" spans="8:10" x14ac:dyDescent="0.25">
      <c r="I35" s="125"/>
    </row>
    <row r="36" spans="8:10" x14ac:dyDescent="0.25">
      <c r="I36" s="125"/>
    </row>
    <row r="43" spans="8:10" x14ac:dyDescent="0.25">
      <c r="H43" s="125"/>
    </row>
    <row r="44" spans="8:10" x14ac:dyDescent="0.25">
      <c r="H44" s="125"/>
    </row>
    <row r="45" spans="8:10" x14ac:dyDescent="0.25">
      <c r="I45" s="125"/>
      <c r="J45" s="125"/>
    </row>
    <row r="46" spans="8:10" x14ac:dyDescent="0.25">
      <c r="I46" s="125"/>
      <c r="J46" s="125"/>
    </row>
    <row r="48" spans="8:10" x14ac:dyDescent="0.25">
      <c r="I48" s="125"/>
    </row>
    <row r="49" spans="8:9" x14ac:dyDescent="0.25">
      <c r="I49" s="125"/>
    </row>
    <row r="52" spans="8:9" x14ac:dyDescent="0.25">
      <c r="H52" s="125"/>
    </row>
    <row r="53" spans="8:9" x14ac:dyDescent="0.25">
      <c r="H53" s="125"/>
    </row>
    <row r="54" spans="8:9" x14ac:dyDescent="0.25">
      <c r="H54" s="125"/>
      <c r="I54" s="125"/>
    </row>
    <row r="55" spans="8:9" x14ac:dyDescent="0.25">
      <c r="I55" s="125"/>
    </row>
    <row r="56" spans="8:9" x14ac:dyDescent="0.25">
      <c r="I56" s="125"/>
    </row>
    <row r="57" spans="8:9" x14ac:dyDescent="0.25">
      <c r="I57" s="125"/>
    </row>
    <row r="58" spans="8:9" x14ac:dyDescent="0.25">
      <c r="I58" s="125"/>
    </row>
    <row r="59" spans="8:9" x14ac:dyDescent="0.25">
      <c r="I59" s="125"/>
    </row>
  </sheetData>
  <mergeCells count="7">
    <mergeCell ref="J6:L6"/>
    <mergeCell ref="M6:N6"/>
    <mergeCell ref="B1:E1"/>
    <mergeCell ref="C2:E2"/>
    <mergeCell ref="C3:E3"/>
    <mergeCell ref="B6:B7"/>
    <mergeCell ref="E6:G6"/>
  </mergeCells>
  <pageMargins left="0.7" right="0.7" top="0.75" bottom="0.75" header="0.3" footer="0.3"/>
  <pageSetup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C1CB-9B76-425C-AF64-925B7D50F5CD}">
  <sheetPr codeName="Sheet5">
    <pageSetUpPr fitToPage="1"/>
  </sheetPr>
  <dimension ref="A1:AI67"/>
  <sheetViews>
    <sheetView view="pageBreakPreview" zoomScale="80" zoomScaleNormal="70" zoomScaleSheetLayoutView="80" workbookViewId="0">
      <selection activeCell="D3" sqref="D3"/>
    </sheetView>
  </sheetViews>
  <sheetFormatPr defaultRowHeight="15" x14ac:dyDescent="0.25"/>
  <cols>
    <col min="1" max="1" width="9.7109375" customWidth="1"/>
    <col min="2" max="2" width="9.85546875" customWidth="1"/>
    <col min="3" max="3" width="10.42578125" customWidth="1"/>
    <col min="4" max="4" width="12.140625" customWidth="1"/>
    <col min="5" max="5" width="12.5703125" customWidth="1"/>
    <col min="6" max="6" width="12" customWidth="1"/>
    <col min="7" max="8" width="13" customWidth="1"/>
    <col min="9" max="9" width="25.140625" customWidth="1"/>
    <col min="10" max="10" width="13.42578125" customWidth="1"/>
    <col min="11" max="11" width="13.85546875" bestFit="1" customWidth="1"/>
    <col min="12" max="12" width="19.5703125" bestFit="1" customWidth="1"/>
    <col min="13" max="13" width="15.5703125" customWidth="1"/>
    <col min="14" max="14" width="14.5703125" customWidth="1"/>
    <col min="15" max="15" width="29.28515625" customWidth="1"/>
    <col min="16" max="17" width="14.5703125" customWidth="1"/>
    <col min="18" max="18" width="16.5703125" bestFit="1" customWidth="1"/>
    <col min="19" max="19" width="13.5703125" customWidth="1"/>
    <col min="20" max="20" width="13.28515625" customWidth="1"/>
    <col min="21" max="21" width="12.42578125" customWidth="1"/>
    <col min="22" max="22" width="12.28515625" customWidth="1"/>
    <col min="23" max="23" width="12.7109375" customWidth="1"/>
    <col min="24" max="27" width="11.7109375" customWidth="1"/>
    <col min="28" max="28" width="12.5703125" customWidth="1"/>
    <col min="29" max="29" width="12.85546875" customWidth="1"/>
    <col min="30" max="30" width="12.5703125" customWidth="1"/>
    <col min="31" max="31" width="13.42578125" customWidth="1"/>
    <col min="32" max="35" width="12.5703125" customWidth="1"/>
  </cols>
  <sheetData>
    <row r="1" spans="1:35" x14ac:dyDescent="0.25">
      <c r="A1" s="599" t="s">
        <v>158</v>
      </c>
      <c r="B1" s="600"/>
      <c r="C1" s="600"/>
      <c r="D1" s="600"/>
      <c r="E1" s="601"/>
      <c r="G1" s="511" t="s">
        <v>184</v>
      </c>
      <c r="H1" s="530"/>
      <c r="I1" s="530"/>
      <c r="J1" s="530"/>
      <c r="K1" s="530"/>
      <c r="L1" s="530"/>
      <c r="M1" s="530"/>
      <c r="N1" s="530"/>
      <c r="O1" s="530"/>
      <c r="P1" s="530"/>
      <c r="Q1" s="530"/>
    </row>
    <row r="2" spans="1:35" x14ac:dyDescent="0.25">
      <c r="A2" s="445"/>
      <c r="B2" s="446"/>
      <c r="C2" s="446"/>
      <c r="D2" s="446"/>
      <c r="E2" s="447"/>
      <c r="G2" s="526" t="s">
        <v>410</v>
      </c>
      <c r="H2" s="526"/>
      <c r="I2" s="526"/>
      <c r="J2" s="486">
        <f>'Baseline Systems'!G4</f>
        <v>10.4</v>
      </c>
      <c r="K2" s="1" t="s">
        <v>375</v>
      </c>
      <c r="L2" s="448"/>
      <c r="M2" s="448"/>
      <c r="N2" s="448"/>
      <c r="O2" s="448"/>
      <c r="P2" s="448"/>
      <c r="Q2" s="448"/>
    </row>
    <row r="3" spans="1:35" x14ac:dyDescent="0.25">
      <c r="A3" s="602" t="s">
        <v>157</v>
      </c>
      <c r="B3" s="526"/>
      <c r="C3" s="526"/>
      <c r="D3" s="126">
        <f>Summary!B5</f>
        <v>121000</v>
      </c>
      <c r="E3" s="15" t="s">
        <v>156</v>
      </c>
      <c r="G3" s="526" t="s">
        <v>410</v>
      </c>
      <c r="H3" s="526"/>
      <c r="I3" s="526"/>
      <c r="J3" s="185">
        <f>12/J2</f>
        <v>1.1538461538461537</v>
      </c>
      <c r="K3" s="1" t="s">
        <v>100</v>
      </c>
      <c r="O3" s="494" t="s">
        <v>400</v>
      </c>
      <c r="P3" s="495"/>
      <c r="Q3" s="35"/>
      <c r="R3" s="128">
        <f>'Baseline Systems'!F20</f>
        <v>3.2</v>
      </c>
      <c r="S3" s="1" t="s">
        <v>74</v>
      </c>
    </row>
    <row r="4" spans="1:35" x14ac:dyDescent="0.25">
      <c r="A4" s="602" t="s">
        <v>155</v>
      </c>
      <c r="B4" s="526"/>
      <c r="C4" s="526"/>
      <c r="D4" s="127">
        <f>Assumptions!C2</f>
        <v>268.88888888888891</v>
      </c>
      <c r="E4" s="15" t="s">
        <v>124</v>
      </c>
      <c r="G4" s="513" t="s">
        <v>406</v>
      </c>
      <c r="H4" s="603"/>
      <c r="I4" s="514"/>
      <c r="J4" s="452">
        <f>'Baseline Systems'!F9</f>
        <v>2.915</v>
      </c>
      <c r="K4" s="1" t="s">
        <v>74</v>
      </c>
      <c r="L4" s="497"/>
      <c r="O4" s="494" t="s">
        <v>401</v>
      </c>
      <c r="P4" s="495"/>
      <c r="Q4" s="35"/>
      <c r="R4" s="128">
        <f>'Baseline Systems'!F22</f>
        <v>2.5</v>
      </c>
      <c r="S4" s="1" t="s">
        <v>74</v>
      </c>
    </row>
    <row r="5" spans="1:35" x14ac:dyDescent="0.25">
      <c r="A5" s="602" t="s">
        <v>153</v>
      </c>
      <c r="B5" s="526"/>
      <c r="C5" s="526"/>
      <c r="D5" s="127">
        <f>D4*0.6</f>
        <v>161.33333333333334</v>
      </c>
      <c r="E5" s="15" t="s">
        <v>124</v>
      </c>
      <c r="O5" s="494" t="s">
        <v>402</v>
      </c>
      <c r="P5" s="495"/>
      <c r="Q5" s="35"/>
      <c r="R5" s="184">
        <f>'Baseline Systems'!F24</f>
        <v>3.7</v>
      </c>
      <c r="S5" s="1" t="s">
        <v>74</v>
      </c>
    </row>
    <row r="6" spans="1:35" x14ac:dyDescent="0.25">
      <c r="A6" s="44" t="s">
        <v>149</v>
      </c>
      <c r="B6" s="1"/>
      <c r="C6" s="1"/>
      <c r="D6" s="126">
        <f>Assumptions!C3</f>
        <v>3025</v>
      </c>
      <c r="E6" s="15" t="s">
        <v>146</v>
      </c>
      <c r="O6" s="494" t="s">
        <v>403</v>
      </c>
      <c r="P6" s="495"/>
      <c r="Q6" s="35"/>
      <c r="R6" s="184">
        <f>'Baseline Systems'!F26</f>
        <v>3.1</v>
      </c>
      <c r="S6" s="1" t="s">
        <v>74</v>
      </c>
    </row>
    <row r="7" spans="1:35" ht="15.75" thickBot="1" x14ac:dyDescent="0.3">
      <c r="A7" s="38" t="s">
        <v>148</v>
      </c>
      <c r="B7" s="16"/>
      <c r="C7" s="16"/>
      <c r="D7" s="129">
        <f>Assumptions!C4</f>
        <v>1210</v>
      </c>
      <c r="E7" s="17" t="s">
        <v>146</v>
      </c>
      <c r="G7" s="513" t="s">
        <v>396</v>
      </c>
      <c r="H7" s="603"/>
      <c r="I7" s="514"/>
      <c r="J7" s="481">
        <f>12/'Baseline Systems'!F19</f>
        <v>0.85106382978723405</v>
      </c>
      <c r="K7" s="1" t="s">
        <v>100</v>
      </c>
      <c r="O7" s="1" t="s">
        <v>225</v>
      </c>
      <c r="P7" s="1"/>
      <c r="Q7" s="1"/>
      <c r="R7" s="184">
        <f>Assumptions!C6</f>
        <v>15.774814814814818</v>
      </c>
      <c r="S7" s="1" t="s">
        <v>101</v>
      </c>
    </row>
    <row r="8" spans="1:35" x14ac:dyDescent="0.25">
      <c r="G8" s="513" t="s">
        <v>397</v>
      </c>
      <c r="H8" s="603"/>
      <c r="I8" s="514"/>
      <c r="J8" s="186">
        <f>12/'Baseline Systems'!F21</f>
        <v>0.99173553719008267</v>
      </c>
      <c r="K8" s="1" t="s">
        <v>100</v>
      </c>
      <c r="O8" s="1" t="s">
        <v>300</v>
      </c>
      <c r="P8" s="1"/>
      <c r="Q8" s="1"/>
      <c r="R8" s="319">
        <f>Assumptions!C10</f>
        <v>5.9155555555555548</v>
      </c>
      <c r="S8" s="1" t="s">
        <v>101</v>
      </c>
    </row>
    <row r="9" spans="1:35" x14ac:dyDescent="0.25">
      <c r="D9" s="46">
        <f>(D6*1000)/D3</f>
        <v>25</v>
      </c>
      <c r="E9" t="s">
        <v>378</v>
      </c>
      <c r="G9" s="513" t="s">
        <v>398</v>
      </c>
      <c r="H9" s="603"/>
      <c r="I9" s="514"/>
      <c r="J9" s="186">
        <f>12/'Baseline Systems'!F23</f>
        <v>0.66666666666666663</v>
      </c>
      <c r="K9" s="1" t="s">
        <v>100</v>
      </c>
    </row>
    <row r="10" spans="1:35" x14ac:dyDescent="0.25">
      <c r="D10" s="46"/>
      <c r="G10" s="513" t="s">
        <v>399</v>
      </c>
      <c r="H10" s="603"/>
      <c r="I10" s="514"/>
      <c r="J10" s="186">
        <f>12/'Baseline Systems'!F25</f>
        <v>0.73619631901840488</v>
      </c>
      <c r="K10" s="1" t="s">
        <v>100</v>
      </c>
    </row>
    <row r="11" spans="1:35" x14ac:dyDescent="0.25">
      <c r="D11" s="46"/>
      <c r="I11" s="121" t="s">
        <v>231</v>
      </c>
      <c r="J11" s="187">
        <v>3412.12</v>
      </c>
      <c r="K11" s="121" t="s">
        <v>169</v>
      </c>
    </row>
    <row r="12" spans="1:35" ht="15.75" thickBot="1" x14ac:dyDescent="0.3"/>
    <row r="13" spans="1:35" ht="15.75" thickBot="1" x14ac:dyDescent="0.3">
      <c r="A13" s="569" t="s">
        <v>215</v>
      </c>
      <c r="B13" s="570"/>
      <c r="C13" s="570"/>
      <c r="D13" s="570"/>
      <c r="E13" s="570"/>
      <c r="F13" s="570"/>
      <c r="G13" s="570"/>
      <c r="H13" s="570"/>
      <c r="I13" s="570"/>
      <c r="J13" s="571"/>
      <c r="K13" s="569" t="s">
        <v>407</v>
      </c>
      <c r="L13" s="570"/>
      <c r="M13" s="570"/>
      <c r="N13" s="570"/>
      <c r="O13" s="570"/>
      <c r="P13" s="570"/>
      <c r="Q13" s="570"/>
      <c r="R13" s="570"/>
      <c r="S13" s="571"/>
      <c r="T13" s="569" t="s">
        <v>174</v>
      </c>
      <c r="U13" s="570"/>
      <c r="V13" s="570"/>
      <c r="W13" s="570"/>
      <c r="X13" s="570"/>
      <c r="Y13" s="570"/>
      <c r="Z13" s="570"/>
      <c r="AA13" s="571"/>
      <c r="AB13" s="569" t="s">
        <v>186</v>
      </c>
      <c r="AC13" s="570"/>
      <c r="AD13" s="570"/>
      <c r="AE13" s="570"/>
      <c r="AF13" s="570"/>
      <c r="AG13" s="570"/>
      <c r="AH13" s="570"/>
      <c r="AI13" s="571"/>
    </row>
    <row r="14" spans="1:35" ht="60" x14ac:dyDescent="0.25">
      <c r="A14" s="109" t="s">
        <v>213</v>
      </c>
      <c r="B14" s="110" t="s">
        <v>212</v>
      </c>
      <c r="C14" s="110" t="s">
        <v>210</v>
      </c>
      <c r="D14" s="110" t="s">
        <v>211</v>
      </c>
      <c r="E14" s="90" t="s">
        <v>154</v>
      </c>
      <c r="F14" s="90" t="s">
        <v>154</v>
      </c>
      <c r="G14" s="589"/>
      <c r="H14" s="90" t="s">
        <v>153</v>
      </c>
      <c r="I14" s="90" t="s">
        <v>153</v>
      </c>
      <c r="J14" s="591"/>
      <c r="K14" s="89" t="s">
        <v>154</v>
      </c>
      <c r="L14" s="90" t="s">
        <v>153</v>
      </c>
      <c r="M14" s="90"/>
      <c r="N14" s="90"/>
      <c r="O14" s="90" t="s">
        <v>152</v>
      </c>
      <c r="P14" s="593"/>
      <c r="Q14" s="90" t="s">
        <v>261</v>
      </c>
      <c r="R14" s="270" t="s">
        <v>262</v>
      </c>
      <c r="S14" s="90" t="s">
        <v>152</v>
      </c>
      <c r="T14" s="89" t="s">
        <v>154</v>
      </c>
      <c r="U14" s="90" t="s">
        <v>153</v>
      </c>
      <c r="V14" s="90" t="s">
        <v>165</v>
      </c>
      <c r="W14" s="90" t="s">
        <v>166</v>
      </c>
      <c r="X14" s="91" t="s">
        <v>152</v>
      </c>
      <c r="Y14" s="90" t="s">
        <v>261</v>
      </c>
      <c r="Z14" s="90" t="s">
        <v>262</v>
      </c>
      <c r="AA14" s="92" t="s">
        <v>152</v>
      </c>
      <c r="AB14" s="89" t="s">
        <v>154</v>
      </c>
      <c r="AC14" s="90" t="s">
        <v>153</v>
      </c>
      <c r="AD14" s="90" t="s">
        <v>165</v>
      </c>
      <c r="AE14" s="90" t="s">
        <v>166</v>
      </c>
      <c r="AF14" s="90" t="s">
        <v>152</v>
      </c>
      <c r="AG14" s="90" t="s">
        <v>261</v>
      </c>
      <c r="AH14" s="90" t="s">
        <v>262</v>
      </c>
      <c r="AI14" s="92" t="s">
        <v>152</v>
      </c>
    </row>
    <row r="15" spans="1:35" ht="15.75" thickBot="1" x14ac:dyDescent="0.3">
      <c r="A15" s="265" t="s">
        <v>208</v>
      </c>
      <c r="B15" s="266" t="s">
        <v>208</v>
      </c>
      <c r="C15" s="266" t="s">
        <v>209</v>
      </c>
      <c r="D15" s="266" t="s">
        <v>209</v>
      </c>
      <c r="E15" s="267" t="s">
        <v>99</v>
      </c>
      <c r="F15" s="249" t="s">
        <v>151</v>
      </c>
      <c r="G15" s="590"/>
      <c r="H15" s="239" t="s">
        <v>99</v>
      </c>
      <c r="I15" s="239" t="s">
        <v>151</v>
      </c>
      <c r="J15" s="592"/>
      <c r="K15" s="248" t="s">
        <v>102</v>
      </c>
      <c r="L15" s="249" t="s">
        <v>102</v>
      </c>
      <c r="M15" s="249"/>
      <c r="N15" s="239"/>
      <c r="O15" s="239" t="s">
        <v>102</v>
      </c>
      <c r="P15" s="594"/>
      <c r="Q15" s="239" t="s">
        <v>260</v>
      </c>
      <c r="R15" s="93" t="s">
        <v>260</v>
      </c>
      <c r="S15" s="239" t="s">
        <v>260</v>
      </c>
      <c r="T15" s="248" t="s">
        <v>102</v>
      </c>
      <c r="U15" s="249" t="s">
        <v>102</v>
      </c>
      <c r="V15" s="239" t="s">
        <v>102</v>
      </c>
      <c r="W15" s="249" t="s">
        <v>102</v>
      </c>
      <c r="X15" s="245" t="s">
        <v>102</v>
      </c>
      <c r="Y15" s="239" t="s">
        <v>260</v>
      </c>
      <c r="Z15" s="239" t="s">
        <v>260</v>
      </c>
      <c r="AA15" s="240" t="s">
        <v>260</v>
      </c>
      <c r="AB15" s="248" t="s">
        <v>102</v>
      </c>
      <c r="AC15" s="249" t="s">
        <v>102</v>
      </c>
      <c r="AD15" s="239" t="s">
        <v>102</v>
      </c>
      <c r="AE15" s="249" t="s">
        <v>102</v>
      </c>
      <c r="AF15" s="249" t="s">
        <v>102</v>
      </c>
      <c r="AG15" s="239" t="s">
        <v>260</v>
      </c>
      <c r="AH15" s="239" t="s">
        <v>260</v>
      </c>
      <c r="AI15" s="240" t="s">
        <v>260</v>
      </c>
    </row>
    <row r="16" spans="1:35" x14ac:dyDescent="0.25">
      <c r="A16" s="261">
        <v>97.5</v>
      </c>
      <c r="B16" s="262" t="s">
        <v>103</v>
      </c>
      <c r="C16" s="262">
        <v>3</v>
      </c>
      <c r="D16" s="262"/>
      <c r="E16" s="263">
        <v>1</v>
      </c>
      <c r="F16" s="264">
        <f>$D$4*E16</f>
        <v>268.88888888888891</v>
      </c>
      <c r="G16" s="595"/>
      <c r="H16" s="259">
        <v>1</v>
      </c>
      <c r="I16" s="260">
        <f>$D$5*H16</f>
        <v>161.33333333333334</v>
      </c>
      <c r="J16" s="597"/>
      <c r="K16" s="246">
        <f t="shared" ref="K16:K23" si="0">$J$3*F16*C16</f>
        <v>930.76923076923083</v>
      </c>
      <c r="L16" s="247">
        <f t="shared" ref="L16:L23" si="1">$J$3*I16*D16</f>
        <v>0</v>
      </c>
      <c r="M16" s="247">
        <v>0</v>
      </c>
      <c r="N16" s="247">
        <v>0</v>
      </c>
      <c r="O16" s="247">
        <f t="shared" ref="O16:O24" si="2">SUM(K16:N16)</f>
        <v>930.76923076923083</v>
      </c>
      <c r="P16" s="595"/>
      <c r="Q16" s="289">
        <f t="shared" ref="Q16:R23" si="3">(K16*3.412)+(M16*3.412)</f>
        <v>3175.7846153846153</v>
      </c>
      <c r="R16" s="285">
        <f t="shared" si="3"/>
        <v>0</v>
      </c>
      <c r="S16" s="278">
        <f>O16*3.412</f>
        <v>3175.7846153846153</v>
      </c>
      <c r="T16" s="292">
        <f t="shared" ref="T16:T23" si="4">F16*$J$7*C16</f>
        <v>686.5248226950356</v>
      </c>
      <c r="U16" s="244">
        <f t="shared" ref="U16:U23" si="5">$J$8*I16*D16</f>
        <v>0</v>
      </c>
      <c r="V16" s="244">
        <f t="shared" ref="V16:V23" si="6">$R$7*C16*E16</f>
        <v>47.324444444444453</v>
      </c>
      <c r="W16" s="244">
        <f t="shared" ref="W16:W23" si="7">$R$7*D16*H16</f>
        <v>0</v>
      </c>
      <c r="X16" s="244">
        <f t="shared" ref="X16:X23" si="8">SUM(T16:W16)</f>
        <v>733.84926713948005</v>
      </c>
      <c r="Y16" s="294">
        <f>(T16*3.412)+(V16*3.412)</f>
        <v>2503.893699479906</v>
      </c>
      <c r="Z16" s="277">
        <f>(U16*3.412)+(W16*3.412)</f>
        <v>0</v>
      </c>
      <c r="AA16" s="286">
        <f>X16*3.412</f>
        <v>2503.893699479906</v>
      </c>
      <c r="AB16" s="243">
        <f t="shared" ref="AB16:AB23" si="9">F16*$J$9*C16</f>
        <v>537.77777777777783</v>
      </c>
      <c r="AC16" s="244">
        <f t="shared" ref="AC16:AC23" si="10">$J$10*I16*D16</f>
        <v>0</v>
      </c>
      <c r="AD16" s="244">
        <f t="shared" ref="AD16:AD23" si="11">$R$7*C16*E16</f>
        <v>47.324444444444453</v>
      </c>
      <c r="AE16" s="244">
        <f t="shared" ref="AE16:AE23" si="12">$R$7*D16*H16</f>
        <v>0</v>
      </c>
      <c r="AF16" s="244">
        <f t="shared" ref="AF16:AF23" si="13">SUM(AB16:AE16)</f>
        <v>585.10222222222228</v>
      </c>
      <c r="AG16" s="295">
        <f>(AB16*3.412)+(AD16*3.412)</f>
        <v>1996.3687822222223</v>
      </c>
      <c r="AH16" s="289">
        <f>(AC16*3.412)+(AE16*3.412)</f>
        <v>0</v>
      </c>
      <c r="AI16" s="301">
        <f>AF16*3.412</f>
        <v>1996.3687822222223</v>
      </c>
    </row>
    <row r="17" spans="1:35" x14ac:dyDescent="0.25">
      <c r="A17" s="130">
        <v>92.5</v>
      </c>
      <c r="B17" s="131" t="s">
        <v>104</v>
      </c>
      <c r="C17" s="131">
        <v>28</v>
      </c>
      <c r="D17" s="134">
        <v>4</v>
      </c>
      <c r="E17" s="132">
        <v>0.9</v>
      </c>
      <c r="F17" s="133">
        <f t="shared" ref="F17:F23" si="14">$D$4*E17</f>
        <v>242.00000000000003</v>
      </c>
      <c r="G17" s="595"/>
      <c r="H17" s="141">
        <v>0.75</v>
      </c>
      <c r="I17" s="142">
        <f t="shared" ref="I17:I19" si="15">$D$5*H17</f>
        <v>121</v>
      </c>
      <c r="J17" s="597"/>
      <c r="K17" s="143">
        <f t="shared" si="0"/>
        <v>7818.4615384615381</v>
      </c>
      <c r="L17" s="144">
        <f t="shared" si="1"/>
        <v>558.46153846153845</v>
      </c>
      <c r="M17" s="144">
        <v>0</v>
      </c>
      <c r="N17" s="144">
        <v>0</v>
      </c>
      <c r="O17" s="144">
        <f t="shared" si="2"/>
        <v>8376.9230769230762</v>
      </c>
      <c r="P17" s="595"/>
      <c r="Q17" s="280">
        <f t="shared" si="3"/>
        <v>26676.590769230766</v>
      </c>
      <c r="R17" s="280">
        <f t="shared" si="3"/>
        <v>1905.4707692307691</v>
      </c>
      <c r="S17" s="279">
        <f>O17*3.412</f>
        <v>28582.061538461534</v>
      </c>
      <c r="T17" s="292">
        <f t="shared" si="4"/>
        <v>5766.8085106382987</v>
      </c>
      <c r="U17" s="244">
        <f t="shared" si="5"/>
        <v>480</v>
      </c>
      <c r="V17" s="150">
        <f t="shared" si="6"/>
        <v>397.52533333333344</v>
      </c>
      <c r="W17" s="150">
        <f t="shared" si="7"/>
        <v>47.324444444444453</v>
      </c>
      <c r="X17" s="150">
        <f t="shared" si="8"/>
        <v>6691.6582884160762</v>
      </c>
      <c r="Y17" s="295">
        <f t="shared" ref="Y17:Z23" si="16">(T17*3.412)+(V17*3.412)</f>
        <v>21032.707075631206</v>
      </c>
      <c r="Z17" s="289">
        <f t="shared" si="16"/>
        <v>1799.2310044444444</v>
      </c>
      <c r="AA17" s="287">
        <f>X17*3.412</f>
        <v>22831.938080075652</v>
      </c>
      <c r="AB17" s="243">
        <f t="shared" si="9"/>
        <v>4517.3333333333339</v>
      </c>
      <c r="AC17" s="244">
        <f t="shared" si="10"/>
        <v>356.31901840490798</v>
      </c>
      <c r="AD17" s="150">
        <f t="shared" si="11"/>
        <v>397.52533333333344</v>
      </c>
      <c r="AE17" s="150">
        <f t="shared" si="12"/>
        <v>47.324444444444453</v>
      </c>
      <c r="AF17" s="150">
        <f t="shared" si="13"/>
        <v>5318.5021295160195</v>
      </c>
      <c r="AG17" s="295">
        <f t="shared" ref="AG17:AH23" si="17">(AB17*3.412)+(AD17*3.412)</f>
        <v>16769.497770666669</v>
      </c>
      <c r="AH17" s="289">
        <f>(AC17*3.412)+(AE17*3.412)</f>
        <v>1377.2314952419906</v>
      </c>
      <c r="AI17" s="302">
        <f>AF17*3.412</f>
        <v>18146.72926590866</v>
      </c>
    </row>
    <row r="18" spans="1:35" x14ac:dyDescent="0.25">
      <c r="A18" s="130">
        <v>87.5</v>
      </c>
      <c r="B18" s="131" t="s">
        <v>105</v>
      </c>
      <c r="C18" s="131">
        <v>113</v>
      </c>
      <c r="D18" s="134">
        <v>48</v>
      </c>
      <c r="E18" s="132">
        <v>0.8</v>
      </c>
      <c r="F18" s="133">
        <f t="shared" si="14"/>
        <v>215.11111111111114</v>
      </c>
      <c r="G18" s="595"/>
      <c r="H18" s="141">
        <v>0.5</v>
      </c>
      <c r="I18" s="142">
        <f t="shared" si="15"/>
        <v>80.666666666666671</v>
      </c>
      <c r="J18" s="597"/>
      <c r="K18" s="143">
        <f t="shared" si="0"/>
        <v>28047.179487179492</v>
      </c>
      <c r="L18" s="144">
        <f t="shared" si="1"/>
        <v>4467.6923076923076</v>
      </c>
      <c r="M18" s="144">
        <v>0</v>
      </c>
      <c r="N18" s="144">
        <v>0</v>
      </c>
      <c r="O18" s="144">
        <f t="shared" si="2"/>
        <v>32514.8717948718</v>
      </c>
      <c r="P18" s="595"/>
      <c r="Q18" s="280">
        <f t="shared" si="3"/>
        <v>95696.976410256422</v>
      </c>
      <c r="R18" s="280">
        <f t="shared" si="3"/>
        <v>15243.766153846153</v>
      </c>
      <c r="S18" s="279">
        <f t="shared" ref="S18:S22" si="18">O18*3.412</f>
        <v>110940.74256410258</v>
      </c>
      <c r="T18" s="292">
        <f t="shared" si="4"/>
        <v>20687.281323877072</v>
      </c>
      <c r="U18" s="244">
        <f t="shared" si="5"/>
        <v>3840</v>
      </c>
      <c r="V18" s="150">
        <f t="shared" si="6"/>
        <v>1426.0432592592597</v>
      </c>
      <c r="W18" s="150">
        <f t="shared" si="7"/>
        <v>378.59555555555562</v>
      </c>
      <c r="X18" s="150">
        <f t="shared" si="8"/>
        <v>26331.920138691887</v>
      </c>
      <c r="Y18" s="295">
        <f t="shared" si="16"/>
        <v>75450.663477661161</v>
      </c>
      <c r="Z18" s="289">
        <f t="shared" si="16"/>
        <v>14393.848035555555</v>
      </c>
      <c r="AA18" s="287">
        <f t="shared" ref="AA18:AA22" si="19">X18*3.412</f>
        <v>89844.511513216712</v>
      </c>
      <c r="AB18" s="243">
        <f t="shared" si="9"/>
        <v>16205.037037037038</v>
      </c>
      <c r="AC18" s="244">
        <f t="shared" si="10"/>
        <v>2850.5521472392638</v>
      </c>
      <c r="AD18" s="150">
        <f t="shared" si="11"/>
        <v>1426.0432592592597</v>
      </c>
      <c r="AE18" s="150">
        <f t="shared" si="12"/>
        <v>378.59555555555562</v>
      </c>
      <c r="AF18" s="150">
        <f t="shared" si="13"/>
        <v>20860.227999091116</v>
      </c>
      <c r="AG18" s="295">
        <f t="shared" si="17"/>
        <v>60157.245970962969</v>
      </c>
      <c r="AH18" s="289">
        <f t="shared" si="17"/>
        <v>11017.851961935925</v>
      </c>
      <c r="AI18" s="302">
        <f t="shared" ref="AI18:AI23" si="20">AF18*3.412</f>
        <v>71175.097932898891</v>
      </c>
    </row>
    <row r="19" spans="1:35" x14ac:dyDescent="0.25">
      <c r="A19" s="130">
        <v>82.5</v>
      </c>
      <c r="B19" s="131" t="s">
        <v>106</v>
      </c>
      <c r="C19" s="131">
        <v>214</v>
      </c>
      <c r="D19" s="134">
        <v>229</v>
      </c>
      <c r="E19" s="132">
        <v>0.7</v>
      </c>
      <c r="F19" s="133">
        <f t="shared" si="14"/>
        <v>188.22222222222223</v>
      </c>
      <c r="G19" s="595"/>
      <c r="H19" s="141">
        <v>0.25</v>
      </c>
      <c r="I19" s="142">
        <f t="shared" si="15"/>
        <v>40.333333333333336</v>
      </c>
      <c r="J19" s="597"/>
      <c r="K19" s="143">
        <f t="shared" si="0"/>
        <v>46476.41025641025</v>
      </c>
      <c r="L19" s="144">
        <f t="shared" si="1"/>
        <v>10657.307692307693</v>
      </c>
      <c r="M19" s="144">
        <v>0</v>
      </c>
      <c r="N19" s="144">
        <v>0</v>
      </c>
      <c r="O19" s="144">
        <f t="shared" si="2"/>
        <v>57133.717948717946</v>
      </c>
      <c r="P19" s="595"/>
      <c r="Q19" s="280">
        <f t="shared" si="3"/>
        <v>158577.51179487177</v>
      </c>
      <c r="R19" s="280">
        <f t="shared" si="3"/>
        <v>36362.733846153846</v>
      </c>
      <c r="S19" s="279">
        <f t="shared" si="18"/>
        <v>194940.24564102563</v>
      </c>
      <c r="T19" s="292">
        <f t="shared" si="4"/>
        <v>34280.472813238775</v>
      </c>
      <c r="U19" s="244">
        <f t="shared" si="5"/>
        <v>9160</v>
      </c>
      <c r="V19" s="150">
        <f t="shared" si="6"/>
        <v>2363.0672592592596</v>
      </c>
      <c r="W19" s="150">
        <f t="shared" si="7"/>
        <v>903.1081481481483</v>
      </c>
      <c r="X19" s="150">
        <f t="shared" si="8"/>
        <v>46706.648220646181</v>
      </c>
      <c r="Y19" s="295">
        <f t="shared" si="16"/>
        <v>125027.7587273633</v>
      </c>
      <c r="Z19" s="289">
        <f t="shared" si="16"/>
        <v>34335.325001481484</v>
      </c>
      <c r="AA19" s="287">
        <f t="shared" si="19"/>
        <v>159363.08372884477</v>
      </c>
      <c r="AB19" s="243">
        <f t="shared" si="9"/>
        <v>26853.037037037036</v>
      </c>
      <c r="AC19" s="244">
        <f t="shared" si="10"/>
        <v>6799.7546012269941</v>
      </c>
      <c r="AD19" s="150">
        <f t="shared" si="11"/>
        <v>2363.0672592592596</v>
      </c>
      <c r="AE19" s="150">
        <f t="shared" si="12"/>
        <v>903.1081481481483</v>
      </c>
      <c r="AF19" s="150">
        <f t="shared" si="13"/>
        <v>36918.967045671438</v>
      </c>
      <c r="AG19" s="295">
        <f t="shared" si="17"/>
        <v>99685.347858962952</v>
      </c>
      <c r="AH19" s="289">
        <f t="shared" si="17"/>
        <v>26282.167700867984</v>
      </c>
      <c r="AI19" s="302">
        <f t="shared" si="20"/>
        <v>125967.51555983094</v>
      </c>
    </row>
    <row r="20" spans="1:35" x14ac:dyDescent="0.25">
      <c r="A20" s="130">
        <v>77.5</v>
      </c>
      <c r="B20" s="131" t="s">
        <v>107</v>
      </c>
      <c r="C20" s="131">
        <v>284</v>
      </c>
      <c r="D20" s="134">
        <v>466</v>
      </c>
      <c r="E20" s="132">
        <v>0.6</v>
      </c>
      <c r="F20" s="133">
        <f t="shared" si="14"/>
        <v>161.33333333333334</v>
      </c>
      <c r="G20" s="595"/>
      <c r="H20" s="63"/>
      <c r="I20" s="467"/>
      <c r="J20" s="597"/>
      <c r="K20" s="143">
        <f t="shared" si="0"/>
        <v>52867.692307692312</v>
      </c>
      <c r="L20" s="144">
        <f t="shared" si="1"/>
        <v>0</v>
      </c>
      <c r="M20" s="144">
        <v>0</v>
      </c>
      <c r="N20" s="144">
        <v>0</v>
      </c>
      <c r="O20" s="144">
        <f t="shared" si="2"/>
        <v>52867.692307692312</v>
      </c>
      <c r="P20" s="595"/>
      <c r="Q20" s="280">
        <f t="shared" si="3"/>
        <v>180384.56615384616</v>
      </c>
      <c r="R20" s="280">
        <f t="shared" si="3"/>
        <v>0</v>
      </c>
      <c r="S20" s="279">
        <f t="shared" si="18"/>
        <v>180384.56615384616</v>
      </c>
      <c r="T20" s="292">
        <f t="shared" si="4"/>
        <v>38994.609929078018</v>
      </c>
      <c r="U20" s="244">
        <f t="shared" si="5"/>
        <v>0</v>
      </c>
      <c r="V20" s="150">
        <f t="shared" si="6"/>
        <v>2688.0284444444446</v>
      </c>
      <c r="W20" s="150">
        <f t="shared" si="7"/>
        <v>0</v>
      </c>
      <c r="X20" s="150">
        <f t="shared" si="8"/>
        <v>41682.638373522466</v>
      </c>
      <c r="Y20" s="295">
        <f t="shared" si="16"/>
        <v>142221.16213045863</v>
      </c>
      <c r="Z20" s="289">
        <f t="shared" si="16"/>
        <v>0</v>
      </c>
      <c r="AA20" s="287">
        <f t="shared" si="19"/>
        <v>142221.16213045866</v>
      </c>
      <c r="AB20" s="243">
        <f t="shared" si="9"/>
        <v>30545.777777777777</v>
      </c>
      <c r="AC20" s="244">
        <f t="shared" si="10"/>
        <v>0</v>
      </c>
      <c r="AD20" s="150">
        <f t="shared" si="11"/>
        <v>2688.0284444444446</v>
      </c>
      <c r="AE20" s="150">
        <f t="shared" si="12"/>
        <v>0</v>
      </c>
      <c r="AF20" s="150">
        <f t="shared" si="13"/>
        <v>33233.806222222222</v>
      </c>
      <c r="AG20" s="295">
        <f t="shared" si="17"/>
        <v>113393.74683022223</v>
      </c>
      <c r="AH20" s="289">
        <f t="shared" si="17"/>
        <v>0</v>
      </c>
      <c r="AI20" s="302">
        <f t="shared" si="20"/>
        <v>113393.74683022221</v>
      </c>
    </row>
    <row r="21" spans="1:35" x14ac:dyDescent="0.25">
      <c r="A21" s="130">
        <v>72.5</v>
      </c>
      <c r="B21" s="131" t="s">
        <v>108</v>
      </c>
      <c r="C21" s="131">
        <v>230</v>
      </c>
      <c r="D21" s="134">
        <v>484</v>
      </c>
      <c r="E21" s="132">
        <v>0.4</v>
      </c>
      <c r="F21" s="133">
        <f t="shared" si="14"/>
        <v>107.55555555555557</v>
      </c>
      <c r="G21" s="595"/>
      <c r="H21" s="63"/>
      <c r="I21" s="467"/>
      <c r="J21" s="597"/>
      <c r="K21" s="143">
        <f t="shared" si="0"/>
        <v>28543.589743589746</v>
      </c>
      <c r="L21" s="144">
        <f t="shared" si="1"/>
        <v>0</v>
      </c>
      <c r="M21" s="144">
        <v>0</v>
      </c>
      <c r="N21" s="144">
        <v>0</v>
      </c>
      <c r="O21" s="144">
        <f t="shared" si="2"/>
        <v>28543.589743589746</v>
      </c>
      <c r="P21" s="595"/>
      <c r="Q21" s="280">
        <f t="shared" si="3"/>
        <v>97390.728205128209</v>
      </c>
      <c r="R21" s="280">
        <f t="shared" si="3"/>
        <v>0</v>
      </c>
      <c r="S21" s="279">
        <f t="shared" si="18"/>
        <v>97390.728205128209</v>
      </c>
      <c r="T21" s="292">
        <f t="shared" si="4"/>
        <v>21053.427895981091</v>
      </c>
      <c r="U21" s="244">
        <f t="shared" si="5"/>
        <v>0</v>
      </c>
      <c r="V21" s="150">
        <f t="shared" si="6"/>
        <v>1451.2829629629632</v>
      </c>
      <c r="W21" s="150">
        <f t="shared" si="7"/>
        <v>0</v>
      </c>
      <c r="X21" s="150">
        <f t="shared" si="8"/>
        <v>22504.710858944054</v>
      </c>
      <c r="Y21" s="295">
        <f t="shared" si="16"/>
        <v>76786.0734507171</v>
      </c>
      <c r="Z21" s="289">
        <f t="shared" si="16"/>
        <v>0</v>
      </c>
      <c r="AA21" s="287">
        <f t="shared" si="19"/>
        <v>76786.073450717115</v>
      </c>
      <c r="AB21" s="243">
        <f t="shared" si="9"/>
        <v>16491.851851851854</v>
      </c>
      <c r="AC21" s="244">
        <f t="shared" si="10"/>
        <v>0</v>
      </c>
      <c r="AD21" s="150">
        <f t="shared" si="11"/>
        <v>1451.2829629629632</v>
      </c>
      <c r="AE21" s="150">
        <f t="shared" si="12"/>
        <v>0</v>
      </c>
      <c r="AF21" s="150">
        <f t="shared" si="13"/>
        <v>17943.134814814817</v>
      </c>
      <c r="AG21" s="295">
        <f t="shared" si="17"/>
        <v>61221.975988148159</v>
      </c>
      <c r="AH21" s="289">
        <f t="shared" si="17"/>
        <v>0</v>
      </c>
      <c r="AI21" s="302">
        <f t="shared" si="20"/>
        <v>61221.975988148151</v>
      </c>
    </row>
    <row r="22" spans="1:35" x14ac:dyDescent="0.25">
      <c r="A22" s="130">
        <v>67.5</v>
      </c>
      <c r="B22" s="131" t="s">
        <v>109</v>
      </c>
      <c r="C22" s="131">
        <v>219</v>
      </c>
      <c r="D22" s="134">
        <v>549</v>
      </c>
      <c r="E22" s="132">
        <v>0.2</v>
      </c>
      <c r="F22" s="133">
        <f t="shared" si="14"/>
        <v>53.777777777777786</v>
      </c>
      <c r="G22" s="595"/>
      <c r="H22" s="63"/>
      <c r="I22" s="467"/>
      <c r="J22" s="597"/>
      <c r="K22" s="143">
        <f t="shared" si="0"/>
        <v>13589.230769230771</v>
      </c>
      <c r="L22" s="144">
        <f t="shared" si="1"/>
        <v>0</v>
      </c>
      <c r="M22" s="144">
        <v>0</v>
      </c>
      <c r="N22" s="144">
        <v>0</v>
      </c>
      <c r="O22" s="144">
        <f t="shared" si="2"/>
        <v>13589.230769230771</v>
      </c>
      <c r="P22" s="595"/>
      <c r="Q22" s="280">
        <f t="shared" si="3"/>
        <v>46366.455384615394</v>
      </c>
      <c r="R22" s="280">
        <f t="shared" si="3"/>
        <v>0</v>
      </c>
      <c r="S22" s="279">
        <f t="shared" si="18"/>
        <v>46366.455384615394</v>
      </c>
      <c r="T22" s="292">
        <f t="shared" si="4"/>
        <v>10023.262411347519</v>
      </c>
      <c r="U22" s="244">
        <f t="shared" si="5"/>
        <v>0</v>
      </c>
      <c r="V22" s="150">
        <f t="shared" si="6"/>
        <v>690.93688888888903</v>
      </c>
      <c r="W22" s="150">
        <f t="shared" si="7"/>
        <v>0</v>
      </c>
      <c r="X22" s="150">
        <f t="shared" si="8"/>
        <v>10714.199300236409</v>
      </c>
      <c r="Y22" s="295">
        <f t="shared" si="16"/>
        <v>36556.848012406626</v>
      </c>
      <c r="Z22" s="289">
        <f t="shared" si="16"/>
        <v>0</v>
      </c>
      <c r="AA22" s="287">
        <f t="shared" si="19"/>
        <v>36556.848012406626</v>
      </c>
      <c r="AB22" s="243">
        <f t="shared" si="9"/>
        <v>7851.5555555555566</v>
      </c>
      <c r="AC22" s="244">
        <f t="shared" si="10"/>
        <v>0</v>
      </c>
      <c r="AD22" s="150">
        <f t="shared" si="11"/>
        <v>690.93688888888903</v>
      </c>
      <c r="AE22" s="150">
        <f t="shared" si="12"/>
        <v>0</v>
      </c>
      <c r="AF22" s="150">
        <f t="shared" si="13"/>
        <v>8542.4924444444459</v>
      </c>
      <c r="AG22" s="295">
        <f t="shared" si="17"/>
        <v>29146.98422044445</v>
      </c>
      <c r="AH22" s="289">
        <f t="shared" si="17"/>
        <v>0</v>
      </c>
      <c r="AI22" s="302">
        <f t="shared" si="20"/>
        <v>29146.98422044445</v>
      </c>
    </row>
    <row r="23" spans="1:35" ht="15.75" thickBot="1" x14ac:dyDescent="0.3">
      <c r="A23" s="135">
        <v>62.5</v>
      </c>
      <c r="B23" s="136" t="s">
        <v>110</v>
      </c>
      <c r="C23" s="136">
        <v>263</v>
      </c>
      <c r="D23" s="137">
        <v>620</v>
      </c>
      <c r="E23" s="138">
        <v>0.15</v>
      </c>
      <c r="F23" s="139">
        <f t="shared" si="14"/>
        <v>40.333333333333336</v>
      </c>
      <c r="G23" s="595"/>
      <c r="H23" s="64"/>
      <c r="I23" s="468"/>
      <c r="J23" s="597"/>
      <c r="K23" s="145">
        <f t="shared" si="0"/>
        <v>12239.615384615385</v>
      </c>
      <c r="L23" s="146">
        <f t="shared" si="1"/>
        <v>0</v>
      </c>
      <c r="M23" s="146">
        <v>0</v>
      </c>
      <c r="N23" s="146">
        <v>0</v>
      </c>
      <c r="O23" s="146">
        <f t="shared" si="2"/>
        <v>12239.615384615385</v>
      </c>
      <c r="P23" s="595"/>
      <c r="Q23" s="280">
        <f t="shared" si="3"/>
        <v>41761.56769230769</v>
      </c>
      <c r="R23" s="280">
        <f t="shared" si="3"/>
        <v>0</v>
      </c>
      <c r="S23" s="281">
        <f>O23*3.412</f>
        <v>41761.56769230769</v>
      </c>
      <c r="T23" s="292">
        <f t="shared" si="4"/>
        <v>9027.8014184397161</v>
      </c>
      <c r="U23" s="244">
        <f t="shared" si="5"/>
        <v>0</v>
      </c>
      <c r="V23" s="151">
        <f t="shared" si="6"/>
        <v>622.31644444444453</v>
      </c>
      <c r="W23" s="151">
        <f t="shared" si="7"/>
        <v>0</v>
      </c>
      <c r="X23" s="151">
        <f t="shared" si="8"/>
        <v>9650.1178628841608</v>
      </c>
      <c r="Y23" s="296">
        <f t="shared" si="16"/>
        <v>32926.202148160752</v>
      </c>
      <c r="Z23" s="276">
        <f t="shared" si="16"/>
        <v>0</v>
      </c>
      <c r="AA23" s="297">
        <f>X23*3.412</f>
        <v>32926.202148160759</v>
      </c>
      <c r="AB23" s="496">
        <f t="shared" si="9"/>
        <v>7071.7777777777783</v>
      </c>
      <c r="AC23" s="151">
        <f t="shared" si="10"/>
        <v>0</v>
      </c>
      <c r="AD23" s="151">
        <f t="shared" si="11"/>
        <v>622.31644444444453</v>
      </c>
      <c r="AE23" s="151">
        <f t="shared" si="12"/>
        <v>0</v>
      </c>
      <c r="AF23" s="151">
        <f t="shared" si="13"/>
        <v>7694.0942222222229</v>
      </c>
      <c r="AG23" s="296">
        <f t="shared" si="17"/>
        <v>26252.249486222223</v>
      </c>
      <c r="AH23" s="276">
        <f t="shared" si="17"/>
        <v>0</v>
      </c>
      <c r="AI23" s="303">
        <f t="shared" si="20"/>
        <v>26252.249486222223</v>
      </c>
    </row>
    <row r="24" spans="1:35" ht="15.75" thickBot="1" x14ac:dyDescent="0.3">
      <c r="A24" s="578" t="s">
        <v>150</v>
      </c>
      <c r="B24" s="579"/>
      <c r="C24" s="140">
        <f>SUM(C16:C23)</f>
        <v>1354</v>
      </c>
      <c r="D24" s="140">
        <f>SUM(D16:D23)</f>
        <v>2400</v>
      </c>
      <c r="E24" s="111"/>
      <c r="F24" s="65"/>
      <c r="G24" s="596"/>
      <c r="H24" s="65"/>
      <c r="I24" s="66"/>
      <c r="J24" s="598"/>
      <c r="K24" s="147">
        <f t="shared" ref="K24:N24" si="21">SUM(K16:K23)</f>
        <v>190512.94871794872</v>
      </c>
      <c r="L24" s="148">
        <f t="shared" si="21"/>
        <v>15683.461538461539</v>
      </c>
      <c r="M24" s="148">
        <f t="shared" si="21"/>
        <v>0</v>
      </c>
      <c r="N24" s="148">
        <f t="shared" si="21"/>
        <v>0</v>
      </c>
      <c r="O24" s="149">
        <f t="shared" si="2"/>
        <v>206196.41025641025</v>
      </c>
      <c r="P24" s="596"/>
      <c r="Q24" s="282">
        <f>SUM(Q16:Q23)</f>
        <v>650030.18102564092</v>
      </c>
      <c r="R24" s="282">
        <f>SUM(R16:R23)</f>
        <v>53511.970769230771</v>
      </c>
      <c r="S24" s="283">
        <f>SUM(S16:S23)</f>
        <v>703542.15179487166</v>
      </c>
      <c r="T24" s="152">
        <f t="shared" ref="T24:W24" si="22">SUM(T16:T23)</f>
        <v>140520.18912529552</v>
      </c>
      <c r="U24" s="153">
        <f t="shared" si="22"/>
        <v>13480</v>
      </c>
      <c r="V24" s="153">
        <f t="shared" si="22"/>
        <v>9686.5250370370395</v>
      </c>
      <c r="W24" s="153">
        <f t="shared" si="22"/>
        <v>1329.0281481481484</v>
      </c>
      <c r="X24" s="258">
        <f>SUM(X16:X23)</f>
        <v>165015.74231048071</v>
      </c>
      <c r="Y24" s="271">
        <f t="shared" ref="Y24:AF24" si="23">SUM(Y16:Y23)</f>
        <v>512505.30872187868</v>
      </c>
      <c r="Z24" s="271">
        <f t="shared" si="23"/>
        <v>50528.404041481481</v>
      </c>
      <c r="AA24" s="298">
        <f t="shared" si="23"/>
        <v>563033.71276336024</v>
      </c>
      <c r="AB24" s="256">
        <f t="shared" si="23"/>
        <v>110074.14814814816</v>
      </c>
      <c r="AC24" s="257">
        <f t="shared" si="23"/>
        <v>10006.625766871166</v>
      </c>
      <c r="AD24" s="257">
        <f t="shared" si="23"/>
        <v>9686.5250370370395</v>
      </c>
      <c r="AE24" s="257">
        <f t="shared" si="23"/>
        <v>1329.0281481481484</v>
      </c>
      <c r="AF24" s="257">
        <f t="shared" si="23"/>
        <v>131096.32710020451</v>
      </c>
      <c r="AG24" s="271">
        <f>SUM(AG16:AG23)</f>
        <v>408623.41690785188</v>
      </c>
      <c r="AH24" s="271">
        <f>SUM(AH16:AH23)</f>
        <v>38677.251158045896</v>
      </c>
      <c r="AI24" s="304">
        <f>SUM(AI16:AI23)</f>
        <v>447300.66806589771</v>
      </c>
    </row>
    <row r="25" spans="1:35" ht="15.75" customHeight="1" thickBot="1" x14ac:dyDescent="0.3">
      <c r="A25" s="586" t="s">
        <v>216</v>
      </c>
      <c r="B25" s="587"/>
      <c r="C25" s="587"/>
      <c r="D25" s="587"/>
      <c r="E25" s="587"/>
      <c r="F25" s="587"/>
      <c r="G25" s="587"/>
      <c r="H25" s="587"/>
      <c r="I25" s="587"/>
      <c r="J25" s="587"/>
      <c r="K25" s="569" t="s">
        <v>408</v>
      </c>
      <c r="L25" s="570"/>
      <c r="M25" s="570"/>
      <c r="N25" s="570"/>
      <c r="O25" s="570"/>
      <c r="P25" s="570"/>
      <c r="Q25" s="570"/>
      <c r="R25" s="570"/>
      <c r="S25" s="571"/>
      <c r="T25" s="570" t="s">
        <v>175</v>
      </c>
      <c r="U25" s="570"/>
      <c r="V25" s="570"/>
      <c r="W25" s="570"/>
      <c r="X25" s="570"/>
      <c r="Y25" s="570"/>
      <c r="Z25" s="570"/>
      <c r="AA25" s="571"/>
      <c r="AB25" s="569" t="s">
        <v>185</v>
      </c>
      <c r="AC25" s="570"/>
      <c r="AD25" s="570"/>
      <c r="AE25" s="570"/>
      <c r="AF25" s="570"/>
      <c r="AG25" s="570"/>
      <c r="AH25" s="570"/>
      <c r="AI25" s="571"/>
    </row>
    <row r="26" spans="1:35" ht="60" x14ac:dyDescent="0.25">
      <c r="A26" s="95" t="s">
        <v>213</v>
      </c>
      <c r="B26" s="95" t="s">
        <v>212</v>
      </c>
      <c r="C26" s="95" t="s">
        <v>210</v>
      </c>
      <c r="D26" s="95" t="s">
        <v>211</v>
      </c>
      <c r="E26" s="96" t="s">
        <v>149</v>
      </c>
      <c r="F26" s="97" t="s">
        <v>149</v>
      </c>
      <c r="G26" s="97" t="s">
        <v>167</v>
      </c>
      <c r="H26" s="97" t="s">
        <v>148</v>
      </c>
      <c r="I26" s="97" t="s">
        <v>148</v>
      </c>
      <c r="J26" s="440" t="s">
        <v>170</v>
      </c>
      <c r="K26" s="457" t="s">
        <v>376</v>
      </c>
      <c r="L26" s="90" t="s">
        <v>377</v>
      </c>
      <c r="M26" s="90"/>
      <c r="N26" s="90"/>
      <c r="O26" s="90" t="s">
        <v>147</v>
      </c>
      <c r="P26" s="91"/>
      <c r="Q26" s="91" t="s">
        <v>263</v>
      </c>
      <c r="R26" s="91" t="s">
        <v>264</v>
      </c>
      <c r="S26" s="92" t="s">
        <v>147</v>
      </c>
      <c r="T26" s="409" t="s">
        <v>149</v>
      </c>
      <c r="U26" s="90" t="s">
        <v>148</v>
      </c>
      <c r="V26" s="90" t="s">
        <v>165</v>
      </c>
      <c r="W26" s="90" t="s">
        <v>166</v>
      </c>
      <c r="X26" s="90" t="s">
        <v>147</v>
      </c>
      <c r="Y26" s="91" t="s">
        <v>263</v>
      </c>
      <c r="Z26" s="90" t="s">
        <v>264</v>
      </c>
      <c r="AA26" s="254" t="s">
        <v>147</v>
      </c>
      <c r="AB26" s="89" t="s">
        <v>149</v>
      </c>
      <c r="AC26" s="90" t="s">
        <v>148</v>
      </c>
      <c r="AD26" s="90" t="s">
        <v>165</v>
      </c>
      <c r="AE26" s="90" t="s">
        <v>166</v>
      </c>
      <c r="AF26" s="90" t="s">
        <v>147</v>
      </c>
      <c r="AG26" s="91" t="s">
        <v>263</v>
      </c>
      <c r="AH26" s="90" t="s">
        <v>264</v>
      </c>
      <c r="AI26" s="92" t="s">
        <v>147</v>
      </c>
    </row>
    <row r="27" spans="1:35" ht="15.75" thickBot="1" x14ac:dyDescent="0.3">
      <c r="A27" s="98" t="s">
        <v>208</v>
      </c>
      <c r="B27" s="98" t="s">
        <v>208</v>
      </c>
      <c r="C27" s="98" t="s">
        <v>209</v>
      </c>
      <c r="D27" s="98" t="s">
        <v>209</v>
      </c>
      <c r="E27" s="98" t="s">
        <v>99</v>
      </c>
      <c r="F27" s="93" t="s">
        <v>146</v>
      </c>
      <c r="G27" s="93" t="s">
        <v>168</v>
      </c>
      <c r="H27" s="73" t="s">
        <v>99</v>
      </c>
      <c r="I27" s="93" t="s">
        <v>146</v>
      </c>
      <c r="J27" s="94" t="s">
        <v>168</v>
      </c>
      <c r="K27" s="238" t="s">
        <v>102</v>
      </c>
      <c r="L27" s="93" t="s">
        <v>102</v>
      </c>
      <c r="M27" s="93"/>
      <c r="N27" s="93"/>
      <c r="O27" s="93" t="s">
        <v>102</v>
      </c>
      <c r="P27" s="94"/>
      <c r="Q27" s="94" t="s">
        <v>260</v>
      </c>
      <c r="R27" s="94" t="s">
        <v>260</v>
      </c>
      <c r="S27" s="240" t="s">
        <v>260</v>
      </c>
      <c r="T27" s="439" t="s">
        <v>102</v>
      </c>
      <c r="U27" s="93" t="s">
        <v>102</v>
      </c>
      <c r="V27" s="93" t="s">
        <v>102</v>
      </c>
      <c r="W27" s="93" t="s">
        <v>102</v>
      </c>
      <c r="X27" s="239" t="s">
        <v>102</v>
      </c>
      <c r="Y27" s="245" t="s">
        <v>260</v>
      </c>
      <c r="Z27" s="239" t="s">
        <v>260</v>
      </c>
      <c r="AA27" s="255" t="s">
        <v>260</v>
      </c>
      <c r="AB27" s="238" t="s">
        <v>102</v>
      </c>
      <c r="AC27" s="239" t="s">
        <v>102</v>
      </c>
      <c r="AD27" s="239" t="s">
        <v>102</v>
      </c>
      <c r="AE27" s="239" t="s">
        <v>102</v>
      </c>
      <c r="AF27" s="239" t="s">
        <v>102</v>
      </c>
      <c r="AG27" s="245" t="s">
        <v>260</v>
      </c>
      <c r="AH27" s="239" t="s">
        <v>260</v>
      </c>
      <c r="AI27" s="240" t="s">
        <v>260</v>
      </c>
    </row>
    <row r="28" spans="1:35" x14ac:dyDescent="0.25">
      <c r="A28" s="154">
        <v>57.5</v>
      </c>
      <c r="B28" s="155" t="s">
        <v>111</v>
      </c>
      <c r="C28" s="155">
        <v>163</v>
      </c>
      <c r="D28" s="155">
        <v>432</v>
      </c>
      <c r="E28" s="156">
        <v>0.1</v>
      </c>
      <c r="F28" s="157">
        <f>$D$6*E28</f>
        <v>302.5</v>
      </c>
      <c r="G28" s="157">
        <f>(F28*1000)/J11</f>
        <v>88.654560800909707</v>
      </c>
      <c r="H28" s="161">
        <v>0.05</v>
      </c>
      <c r="I28" s="144">
        <f t="shared" ref="I28:I39" si="24">$D$7*H28</f>
        <v>60.5</v>
      </c>
      <c r="J28" s="158">
        <f>(I28*1000)/J11</f>
        <v>17.730912160181941</v>
      </c>
      <c r="K28" s="243">
        <f>C28*(F28/3.412)/$J$4</f>
        <v>4957.5305801942095</v>
      </c>
      <c r="L28" s="320">
        <f>D28*(I28/3.412)/$J$4</f>
        <v>2627.7953504833108</v>
      </c>
      <c r="M28" s="167"/>
      <c r="N28" s="167"/>
      <c r="O28" s="167">
        <f t="shared" ref="O28:O39" si="25">SUM(K28:L28)</f>
        <v>7585.3259306775199</v>
      </c>
      <c r="P28" s="268">
        <f t="shared" ref="P28:P39" si="26">M28+N28/$J$4</f>
        <v>0</v>
      </c>
      <c r="Q28" s="284">
        <f t="shared" ref="Q28:Q38" si="27">(K28*3.412)</f>
        <v>16915.094339622643</v>
      </c>
      <c r="R28" s="277">
        <f t="shared" ref="R28:R38" si="28">(L28*3.412)</f>
        <v>8966.0377358490568</v>
      </c>
      <c r="S28" s="273">
        <f t="shared" ref="S28:S39" si="29">(O28*3.412)+(P28*100)</f>
        <v>25881.132075471698</v>
      </c>
      <c r="T28" s="171">
        <f t="shared" ref="T28:T39" si="30">(C28*G28)/$R$3</f>
        <v>4515.8416907963374</v>
      </c>
      <c r="U28" s="172">
        <f t="shared" ref="U28:U39" si="31">(D28*J28)/$R$4</f>
        <v>3063.9016212794395</v>
      </c>
      <c r="V28" s="173">
        <f t="shared" ref="V28:V39" si="32">C28*E28*$R$7</f>
        <v>257.12948148148155</v>
      </c>
      <c r="W28" s="321">
        <f t="shared" ref="W28:W39" si="33">D28*H28*$R$8</f>
        <v>127.776</v>
      </c>
      <c r="X28" s="167">
        <f t="shared" ref="X28:X39" si="34">SUM(T28:W28)</f>
        <v>7964.6487935572586</v>
      </c>
      <c r="Y28" s="277">
        <f>(T28*3.412)+(V28*3.412)</f>
        <v>16285.377639811919</v>
      </c>
      <c r="Z28" s="277">
        <f>(U28*3.412)+(W28*3.412)</f>
        <v>10890.004043805448</v>
      </c>
      <c r="AA28" s="299">
        <f>X28*3.412</f>
        <v>27175.381683617365</v>
      </c>
      <c r="AB28" s="174">
        <f t="shared" ref="AB28:AB39" si="35">(C28*G28)/$R$5</f>
        <v>3905.5928136616976</v>
      </c>
      <c r="AC28" s="470">
        <f t="shared" ref="AC28:AC39" si="36">(D28*J28)/$R$6</f>
        <v>2470.8884042576124</v>
      </c>
      <c r="AD28" s="173">
        <f t="shared" ref="AD28:AD39" si="37">C28*E28*$R$7</f>
        <v>257.12948148148155</v>
      </c>
      <c r="AE28" s="173">
        <f t="shared" ref="AE28:AE39" si="38">D28*H28*$R$8</f>
        <v>127.776</v>
      </c>
      <c r="AF28" s="173">
        <f t="shared" ref="AF28:AF39" si="39">SUM(AB28:AE28)</f>
        <v>6761.3866994007922</v>
      </c>
      <c r="AG28" s="277">
        <f>(AB28*3.412)+(AD28*3.412)</f>
        <v>14203.208471028527</v>
      </c>
      <c r="AH28" s="277">
        <f>(AC28*3.412)+(AE28*3.412)</f>
        <v>8866.6429473269745</v>
      </c>
      <c r="AI28" s="472">
        <f>AF28*3.412</f>
        <v>23069.851418355502</v>
      </c>
    </row>
    <row r="29" spans="1:35" x14ac:dyDescent="0.25">
      <c r="A29" s="159">
        <v>52.5</v>
      </c>
      <c r="B29" s="134" t="s">
        <v>112</v>
      </c>
      <c r="C29" s="134">
        <v>198</v>
      </c>
      <c r="D29" s="134">
        <v>623</v>
      </c>
      <c r="E29" s="160">
        <v>0.12</v>
      </c>
      <c r="F29" s="144">
        <f t="shared" ref="F29:F39" si="40">$D$6*E29</f>
        <v>363</v>
      </c>
      <c r="G29" s="144">
        <f>(F29*1000)/J11</f>
        <v>106.38547296109164</v>
      </c>
      <c r="H29" s="161">
        <v>0.1</v>
      </c>
      <c r="I29" s="144">
        <f t="shared" si="24"/>
        <v>121</v>
      </c>
      <c r="J29" s="162">
        <f t="shared" ref="J29:J39" si="41">(I29*1000)/$J$11</f>
        <v>35.461824320363881</v>
      </c>
      <c r="K29" s="243">
        <f t="shared" ref="K29:K39" si="42">C29*(F29/3.412)/$J$4</f>
        <v>7226.4372138291046</v>
      </c>
      <c r="L29" s="150">
        <f t="shared" ref="L29:L39" si="43">D29*(I29/3.412)/$J$4</f>
        <v>7579.24307106992</v>
      </c>
      <c r="M29" s="150"/>
      <c r="N29" s="150"/>
      <c r="O29" s="150">
        <f t="shared" si="25"/>
        <v>14805.680284899025</v>
      </c>
      <c r="P29" s="242">
        <f t="shared" si="26"/>
        <v>0</v>
      </c>
      <c r="Q29" s="288">
        <f t="shared" si="27"/>
        <v>24656.603773584906</v>
      </c>
      <c r="R29" s="280">
        <f t="shared" si="28"/>
        <v>25860.377358490565</v>
      </c>
      <c r="S29" s="274">
        <f t="shared" si="29"/>
        <v>50516.981132075474</v>
      </c>
      <c r="T29" s="176">
        <f t="shared" si="30"/>
        <v>6582.6011394675443</v>
      </c>
      <c r="U29" s="177">
        <f t="shared" si="31"/>
        <v>8837.08662063468</v>
      </c>
      <c r="V29" s="127">
        <f t="shared" si="32"/>
        <v>374.80960000000005</v>
      </c>
      <c r="W29" s="127">
        <f t="shared" si="33"/>
        <v>368.53911111111108</v>
      </c>
      <c r="X29" s="150">
        <f t="shared" si="34"/>
        <v>16163.036471213336</v>
      </c>
      <c r="Y29" s="280">
        <f t="shared" ref="Y29:Z39" si="44">(T29*3.412)+(V29*3.412)</f>
        <v>23738.685443063259</v>
      </c>
      <c r="Z29" s="280">
        <f t="shared" si="44"/>
        <v>31409.594996716638</v>
      </c>
      <c r="AA29" s="302">
        <f>X29*3.412</f>
        <v>55148.280439779905</v>
      </c>
      <c r="AB29" s="178">
        <f t="shared" si="35"/>
        <v>5693.0604449449029</v>
      </c>
      <c r="AC29" s="469">
        <f t="shared" si="36"/>
        <v>7126.682758576354</v>
      </c>
      <c r="AD29" s="127">
        <f t="shared" si="37"/>
        <v>374.80960000000005</v>
      </c>
      <c r="AE29" s="127">
        <f t="shared" si="38"/>
        <v>368.53911111111108</v>
      </c>
      <c r="AF29" s="127">
        <f t="shared" si="39"/>
        <v>13563.091914632369</v>
      </c>
      <c r="AG29" s="280">
        <f t="shared" ref="AG29:AH39" si="45">(AB29*3.412)+(AD29*3.412)</f>
        <v>20703.572593352008</v>
      </c>
      <c r="AH29" s="280">
        <f t="shared" si="45"/>
        <v>25573.697019373631</v>
      </c>
      <c r="AI29" s="473">
        <f>AF29*3.412</f>
        <v>46277.269612725642</v>
      </c>
    </row>
    <row r="30" spans="1:35" x14ac:dyDescent="0.25">
      <c r="A30" s="159">
        <v>47.5</v>
      </c>
      <c r="B30" s="134" t="s">
        <v>113</v>
      </c>
      <c r="C30" s="134">
        <v>209</v>
      </c>
      <c r="D30" s="134">
        <v>444</v>
      </c>
      <c r="E30" s="160">
        <v>0.15</v>
      </c>
      <c r="F30" s="144">
        <f t="shared" si="40"/>
        <v>453.75</v>
      </c>
      <c r="G30" s="144">
        <f>(F30*1000)/J11</f>
        <v>132.98184120136455</v>
      </c>
      <c r="H30" s="161">
        <v>0.12</v>
      </c>
      <c r="I30" s="144">
        <f t="shared" si="24"/>
        <v>145.19999999999999</v>
      </c>
      <c r="J30" s="162">
        <f t="shared" si="41"/>
        <v>42.554189184436659</v>
      </c>
      <c r="K30" s="243">
        <f t="shared" si="42"/>
        <v>9534.8824349134029</v>
      </c>
      <c r="L30" s="150">
        <f t="shared" si="43"/>
        <v>6481.8951978588329</v>
      </c>
      <c r="M30" s="150"/>
      <c r="N30" s="150"/>
      <c r="O30" s="150">
        <f t="shared" si="25"/>
        <v>16016.777632772235</v>
      </c>
      <c r="P30" s="242">
        <f t="shared" si="26"/>
        <v>0</v>
      </c>
      <c r="Q30" s="288">
        <f t="shared" si="27"/>
        <v>32533.018867924529</v>
      </c>
      <c r="R30" s="280">
        <f t="shared" si="28"/>
        <v>22116.226415094337</v>
      </c>
      <c r="S30" s="274">
        <f t="shared" si="29"/>
        <v>54649.245283018863</v>
      </c>
      <c r="T30" s="176">
        <f t="shared" si="30"/>
        <v>8685.3765034641219</v>
      </c>
      <c r="U30" s="177">
        <f t="shared" si="31"/>
        <v>7557.6239991559505</v>
      </c>
      <c r="V30" s="127">
        <f t="shared" si="32"/>
        <v>494.54044444444452</v>
      </c>
      <c r="W30" s="127">
        <f t="shared" si="33"/>
        <v>315.18079999999998</v>
      </c>
      <c r="X30" s="150">
        <f t="shared" si="34"/>
        <v>17052.721747064516</v>
      </c>
      <c r="Y30" s="280">
        <f t="shared" si="44"/>
        <v>31321.876626264031</v>
      </c>
      <c r="Z30" s="280">
        <f t="shared" si="44"/>
        <v>26862.009974720102</v>
      </c>
      <c r="AA30" s="302">
        <f t="shared" ref="AA30:AA38" si="46">X30*3.412</f>
        <v>58183.886600984122</v>
      </c>
      <c r="AB30" s="178">
        <f t="shared" si="35"/>
        <v>7511.6769759689696</v>
      </c>
      <c r="AC30" s="469">
        <f t="shared" si="36"/>
        <v>6094.8580638354433</v>
      </c>
      <c r="AD30" s="127">
        <f t="shared" si="37"/>
        <v>494.54044444444452</v>
      </c>
      <c r="AE30" s="127">
        <f t="shared" si="38"/>
        <v>315.18079999999998</v>
      </c>
      <c r="AF30" s="127">
        <f t="shared" si="39"/>
        <v>14416.256284248859</v>
      </c>
      <c r="AG30" s="280">
        <f t="shared" si="45"/>
        <v>27317.213838450571</v>
      </c>
      <c r="AH30" s="280">
        <f t="shared" si="45"/>
        <v>21871.052603406533</v>
      </c>
      <c r="AI30" s="473">
        <f t="shared" ref="AI30:AI38" si="47">AF30*3.412</f>
        <v>49188.266441857108</v>
      </c>
    </row>
    <row r="31" spans="1:35" x14ac:dyDescent="0.25">
      <c r="A31" s="159">
        <v>42.5</v>
      </c>
      <c r="B31" s="134" t="s">
        <v>114</v>
      </c>
      <c r="C31" s="134">
        <v>180</v>
      </c>
      <c r="D31" s="134">
        <v>574</v>
      </c>
      <c r="E31" s="160">
        <v>0.2</v>
      </c>
      <c r="F31" s="144">
        <f t="shared" si="40"/>
        <v>605</v>
      </c>
      <c r="G31" s="144">
        <f>(F31*1000)/J11</f>
        <v>177.30912160181941</v>
      </c>
      <c r="H31" s="161">
        <v>0.15</v>
      </c>
      <c r="I31" s="144">
        <f t="shared" si="24"/>
        <v>181.5</v>
      </c>
      <c r="J31" s="162">
        <f t="shared" si="41"/>
        <v>53.192736480545818</v>
      </c>
      <c r="K31" s="243">
        <f t="shared" si="42"/>
        <v>10949.147293680462</v>
      </c>
      <c r="L31" s="150">
        <f t="shared" si="43"/>
        <v>10474.684244287642</v>
      </c>
      <c r="M31" s="150"/>
      <c r="N31" s="150"/>
      <c r="O31" s="150">
        <f t="shared" si="25"/>
        <v>21423.831537968104</v>
      </c>
      <c r="P31" s="242">
        <f t="shared" si="26"/>
        <v>0</v>
      </c>
      <c r="Q31" s="288">
        <f t="shared" si="27"/>
        <v>37358.490566037734</v>
      </c>
      <c r="R31" s="280">
        <f t="shared" si="28"/>
        <v>35739.622641509435</v>
      </c>
      <c r="S31" s="274">
        <f t="shared" si="29"/>
        <v>73098.113207547169</v>
      </c>
      <c r="T31" s="176">
        <f t="shared" si="30"/>
        <v>9973.6380901023404</v>
      </c>
      <c r="U31" s="177">
        <f t="shared" si="31"/>
        <v>12213.052295933321</v>
      </c>
      <c r="V31" s="127">
        <f t="shared" si="32"/>
        <v>567.89333333333343</v>
      </c>
      <c r="W31" s="127">
        <f t="shared" si="33"/>
        <v>509.32933333333324</v>
      </c>
      <c r="X31" s="150">
        <f t="shared" si="34"/>
        <v>23263.91305270233</v>
      </c>
      <c r="Y31" s="289">
        <f t="shared" si="44"/>
        <v>35967.705216762515</v>
      </c>
      <c r="Z31" s="289">
        <f t="shared" si="44"/>
        <v>43408.766119057822</v>
      </c>
      <c r="AA31" s="302">
        <f t="shared" si="46"/>
        <v>79376.471335820344</v>
      </c>
      <c r="AB31" s="178">
        <f t="shared" si="35"/>
        <v>8625.84915900743</v>
      </c>
      <c r="AC31" s="469">
        <f t="shared" si="36"/>
        <v>9849.2357225268715</v>
      </c>
      <c r="AD31" s="127">
        <f t="shared" si="37"/>
        <v>567.89333333333343</v>
      </c>
      <c r="AE31" s="127">
        <f t="shared" si="38"/>
        <v>509.32933333333324</v>
      </c>
      <c r="AF31" s="127">
        <f t="shared" si="39"/>
        <v>19552.30754820097</v>
      </c>
      <c r="AG31" s="289">
        <f t="shared" si="45"/>
        <v>31369.049383866684</v>
      </c>
      <c r="AH31" s="289">
        <f t="shared" si="45"/>
        <v>35343.423970595017</v>
      </c>
      <c r="AI31" s="473">
        <f t="shared" si="47"/>
        <v>66712.473354461705</v>
      </c>
    </row>
    <row r="32" spans="1:35" x14ac:dyDescent="0.25">
      <c r="A32" s="159">
        <v>37.5</v>
      </c>
      <c r="B32" s="134" t="s">
        <v>115</v>
      </c>
      <c r="C32" s="134">
        <v>254</v>
      </c>
      <c r="D32" s="134">
        <v>547</v>
      </c>
      <c r="E32" s="160">
        <v>0.25</v>
      </c>
      <c r="F32" s="144">
        <f t="shared" si="40"/>
        <v>756.25</v>
      </c>
      <c r="G32" s="144">
        <f>(F32*1000)/J11</f>
        <v>221.63640200227425</v>
      </c>
      <c r="H32" s="161">
        <v>0.2</v>
      </c>
      <c r="I32" s="144">
        <f t="shared" si="24"/>
        <v>242</v>
      </c>
      <c r="J32" s="162">
        <f t="shared" si="41"/>
        <v>70.923648640727762</v>
      </c>
      <c r="K32" s="243">
        <f t="shared" si="42"/>
        <v>19313.079254130818</v>
      </c>
      <c r="L32" s="150">
        <f t="shared" si="43"/>
        <v>13309.296821429361</v>
      </c>
      <c r="M32" s="150"/>
      <c r="N32" s="150"/>
      <c r="O32" s="150">
        <f t="shared" si="25"/>
        <v>32622.37607556018</v>
      </c>
      <c r="P32" s="242">
        <f t="shared" si="26"/>
        <v>0</v>
      </c>
      <c r="Q32" s="288">
        <f t="shared" si="27"/>
        <v>65896.226415094352</v>
      </c>
      <c r="R32" s="280">
        <f t="shared" si="28"/>
        <v>45411.32075471698</v>
      </c>
      <c r="S32" s="274">
        <f t="shared" si="29"/>
        <v>111307.54716981133</v>
      </c>
      <c r="T32" s="176">
        <f t="shared" si="30"/>
        <v>17592.389408930518</v>
      </c>
      <c r="U32" s="177">
        <f t="shared" si="31"/>
        <v>15518.094322591234</v>
      </c>
      <c r="V32" s="127">
        <f t="shared" si="32"/>
        <v>1001.7007407407409</v>
      </c>
      <c r="W32" s="127">
        <f t="shared" si="33"/>
        <v>647.16177777777773</v>
      </c>
      <c r="X32" s="150">
        <f t="shared" si="34"/>
        <v>34759.346250040275</v>
      </c>
      <c r="Y32" s="289">
        <f t="shared" si="44"/>
        <v>63443.03559067833</v>
      </c>
      <c r="Z32" s="289">
        <f t="shared" si="44"/>
        <v>55155.853814459064</v>
      </c>
      <c r="AA32" s="302">
        <f t="shared" si="46"/>
        <v>118598.88940513741</v>
      </c>
      <c r="AB32" s="178">
        <f t="shared" si="35"/>
        <v>15215.039488804772</v>
      </c>
      <c r="AC32" s="177">
        <f t="shared" si="36"/>
        <v>12514.592195638092</v>
      </c>
      <c r="AD32" s="127">
        <f t="shared" si="37"/>
        <v>1001.7007407407409</v>
      </c>
      <c r="AE32" s="127">
        <f t="shared" si="38"/>
        <v>647.16177777777773</v>
      </c>
      <c r="AF32" s="127">
        <f t="shared" si="39"/>
        <v>29378.494202961385</v>
      </c>
      <c r="AG32" s="289">
        <f>(AB32*3.412)+(AD32*3.412)</f>
        <v>55331.517663209292</v>
      </c>
      <c r="AH32" s="289">
        <f>(AC32*3.412)+(AE32*3.412)</f>
        <v>44907.90455729494</v>
      </c>
      <c r="AI32" s="473">
        <f t="shared" si="47"/>
        <v>100239.42222050425</v>
      </c>
    </row>
    <row r="33" spans="1:35" x14ac:dyDescent="0.25">
      <c r="A33" s="159">
        <v>32.5</v>
      </c>
      <c r="B33" s="134" t="s">
        <v>116</v>
      </c>
      <c r="C33" s="134">
        <v>127</v>
      </c>
      <c r="D33" s="134">
        <v>392</v>
      </c>
      <c r="E33" s="160">
        <v>0.35</v>
      </c>
      <c r="F33" s="144">
        <f t="shared" si="40"/>
        <v>1058.75</v>
      </c>
      <c r="G33" s="144">
        <f>(F33*1000)/J11</f>
        <v>310.29096280318396</v>
      </c>
      <c r="H33" s="161">
        <v>0.25</v>
      </c>
      <c r="I33" s="144">
        <f t="shared" si="24"/>
        <v>302.5</v>
      </c>
      <c r="J33" s="162">
        <f t="shared" si="41"/>
        <v>88.654560800909707</v>
      </c>
      <c r="K33" s="243">
        <f t="shared" si="42"/>
        <v>13519.155477891571</v>
      </c>
      <c r="L33" s="150">
        <f t="shared" si="43"/>
        <v>11922.404830896503</v>
      </c>
      <c r="M33" s="150"/>
      <c r="N33" s="150"/>
      <c r="O33" s="150">
        <f t="shared" si="25"/>
        <v>25441.560308788074</v>
      </c>
      <c r="P33" s="242">
        <f t="shared" si="26"/>
        <v>0</v>
      </c>
      <c r="Q33" s="288">
        <f t="shared" si="27"/>
        <v>46127.358490566039</v>
      </c>
      <c r="R33" s="280">
        <f t="shared" si="28"/>
        <v>40679.24528301887</v>
      </c>
      <c r="S33" s="274">
        <f t="shared" si="29"/>
        <v>86806.60377358491</v>
      </c>
      <c r="T33" s="176">
        <f t="shared" si="30"/>
        <v>12314.672586251363</v>
      </c>
      <c r="U33" s="177">
        <f t="shared" si="31"/>
        <v>13901.035133582642</v>
      </c>
      <c r="V33" s="127">
        <f t="shared" si="32"/>
        <v>701.19051851851862</v>
      </c>
      <c r="W33" s="127">
        <f t="shared" si="33"/>
        <v>579.72444444444432</v>
      </c>
      <c r="X33" s="150">
        <f t="shared" si="34"/>
        <v>27496.622682796966</v>
      </c>
      <c r="Y33" s="289">
        <f t="shared" si="44"/>
        <v>44410.124913474836</v>
      </c>
      <c r="Z33" s="289">
        <f t="shared" si="44"/>
        <v>49408.351680228414</v>
      </c>
      <c r="AA33" s="302">
        <f t="shared" si="46"/>
        <v>93818.47659370325</v>
      </c>
      <c r="AB33" s="178">
        <f t="shared" si="35"/>
        <v>10650.527642163341</v>
      </c>
      <c r="AC33" s="177">
        <f t="shared" si="36"/>
        <v>11210.512204502131</v>
      </c>
      <c r="AD33" s="127">
        <f t="shared" si="37"/>
        <v>701.19051851851862</v>
      </c>
      <c r="AE33" s="127">
        <f t="shared" si="38"/>
        <v>579.72444444444432</v>
      </c>
      <c r="AF33" s="127">
        <f t="shared" si="39"/>
        <v>23141.954809628434</v>
      </c>
      <c r="AG33" s="289">
        <f t="shared" si="45"/>
        <v>38732.062364246507</v>
      </c>
      <c r="AH33" s="289">
        <f t="shared" si="45"/>
        <v>40228.287446205708</v>
      </c>
      <c r="AI33" s="473">
        <f t="shared" si="47"/>
        <v>78960.349810452215</v>
      </c>
    </row>
    <row r="34" spans="1:35" x14ac:dyDescent="0.25">
      <c r="A34" s="159">
        <v>27.5</v>
      </c>
      <c r="B34" s="134" t="s">
        <v>117</v>
      </c>
      <c r="C34" s="134">
        <v>110</v>
      </c>
      <c r="D34" s="134">
        <v>228</v>
      </c>
      <c r="E34" s="160">
        <v>0.45</v>
      </c>
      <c r="F34" s="144">
        <f t="shared" si="40"/>
        <v>1361.25</v>
      </c>
      <c r="G34" s="144">
        <f>(F34*1000)/J11</f>
        <v>398.94552360409364</v>
      </c>
      <c r="H34" s="161">
        <v>0.35</v>
      </c>
      <c r="I34" s="144">
        <f t="shared" si="24"/>
        <v>423.5</v>
      </c>
      <c r="J34" s="162">
        <f t="shared" si="41"/>
        <v>124.11638512127358</v>
      </c>
      <c r="K34" s="243">
        <f t="shared" si="42"/>
        <v>15055.077528810636</v>
      </c>
      <c r="L34" s="150">
        <f t="shared" si="43"/>
        <v>9708.2439337300093</v>
      </c>
      <c r="M34" s="150"/>
      <c r="N34" s="150"/>
      <c r="O34" s="150">
        <f t="shared" si="25"/>
        <v>24763.321462540647</v>
      </c>
      <c r="P34" s="242">
        <f t="shared" si="26"/>
        <v>0</v>
      </c>
      <c r="Q34" s="288">
        <f t="shared" si="27"/>
        <v>51367.92452830189</v>
      </c>
      <c r="R34" s="280">
        <f t="shared" si="28"/>
        <v>33124.528301886792</v>
      </c>
      <c r="S34" s="274">
        <f t="shared" si="29"/>
        <v>84492.452830188689</v>
      </c>
      <c r="T34" s="176">
        <f t="shared" si="30"/>
        <v>13713.752373890717</v>
      </c>
      <c r="U34" s="177">
        <f t="shared" si="31"/>
        <v>11319.414323060151</v>
      </c>
      <c r="V34" s="127">
        <f t="shared" si="32"/>
        <v>780.85333333333347</v>
      </c>
      <c r="W34" s="127">
        <f t="shared" si="33"/>
        <v>472.06133333333327</v>
      </c>
      <c r="X34" s="150">
        <f t="shared" si="34"/>
        <v>26286.081363617533</v>
      </c>
      <c r="Y34" s="289">
        <f t="shared" si="44"/>
        <v>49455.594673048457</v>
      </c>
      <c r="Z34" s="289">
        <f t="shared" si="44"/>
        <v>40232.514939614564</v>
      </c>
      <c r="AA34" s="302">
        <f t="shared" si="46"/>
        <v>89688.109612663029</v>
      </c>
      <c r="AB34" s="178">
        <f t="shared" si="35"/>
        <v>11860.542593635215</v>
      </c>
      <c r="AC34" s="471">
        <f t="shared" si="36"/>
        <v>9128.5599379517334</v>
      </c>
      <c r="AD34" s="127">
        <f t="shared" si="37"/>
        <v>780.85333333333347</v>
      </c>
      <c r="AE34" s="127">
        <f t="shared" si="38"/>
        <v>472.06133333333327</v>
      </c>
      <c r="AF34" s="127">
        <f t="shared" si="39"/>
        <v>22242.017198253616</v>
      </c>
      <c r="AG34" s="289">
        <f t="shared" si="45"/>
        <v>43132.442902816685</v>
      </c>
      <c r="AH34" s="289">
        <f t="shared" si="45"/>
        <v>32757.319777624645</v>
      </c>
      <c r="AI34" s="473">
        <f t="shared" si="47"/>
        <v>75889.76268044133</v>
      </c>
    </row>
    <row r="35" spans="1:35" x14ac:dyDescent="0.25">
      <c r="A35" s="159">
        <v>22.5</v>
      </c>
      <c r="B35" s="134" t="s">
        <v>118</v>
      </c>
      <c r="C35" s="134">
        <v>130</v>
      </c>
      <c r="D35" s="134">
        <v>165</v>
      </c>
      <c r="E35" s="161">
        <v>0.55000000000000004</v>
      </c>
      <c r="F35" s="144">
        <f t="shared" si="40"/>
        <v>1663.7500000000002</v>
      </c>
      <c r="G35" s="144">
        <f>(F35*1000)/J11</f>
        <v>487.60008440500343</v>
      </c>
      <c r="H35" s="161">
        <v>0.45</v>
      </c>
      <c r="I35" s="144">
        <f t="shared" si="24"/>
        <v>544.5</v>
      </c>
      <c r="J35" s="162">
        <f t="shared" si="41"/>
        <v>159.57820944163745</v>
      </c>
      <c r="K35" s="243">
        <f t="shared" si="42"/>
        <v>21746.223097170921</v>
      </c>
      <c r="L35" s="150">
        <f t="shared" si="43"/>
        <v>9033.0465172863824</v>
      </c>
      <c r="M35" s="150"/>
      <c r="N35" s="150"/>
      <c r="O35" s="150">
        <f t="shared" si="25"/>
        <v>30779.269614457306</v>
      </c>
      <c r="P35" s="242">
        <f t="shared" si="26"/>
        <v>0</v>
      </c>
      <c r="Q35" s="288">
        <f t="shared" si="27"/>
        <v>74198.113207547183</v>
      </c>
      <c r="R35" s="280">
        <f t="shared" si="28"/>
        <v>30820.754716981137</v>
      </c>
      <c r="S35" s="274">
        <f t="shared" si="29"/>
        <v>105018.86792452833</v>
      </c>
      <c r="T35" s="176">
        <f t="shared" si="30"/>
        <v>19808.753428953263</v>
      </c>
      <c r="U35" s="177">
        <f t="shared" si="31"/>
        <v>10532.161823148072</v>
      </c>
      <c r="V35" s="127">
        <f t="shared" si="32"/>
        <v>1127.8992592592595</v>
      </c>
      <c r="W35" s="127">
        <f t="shared" si="33"/>
        <v>439.22999999999996</v>
      </c>
      <c r="X35" s="150">
        <f t="shared" si="34"/>
        <v>31908.044511360593</v>
      </c>
      <c r="Y35" s="289">
        <f t="shared" si="44"/>
        <v>71435.85897218113</v>
      </c>
      <c r="Z35" s="289">
        <f t="shared" si="44"/>
        <v>37434.388900581216</v>
      </c>
      <c r="AA35" s="302">
        <f t="shared" si="46"/>
        <v>108870.24787276234</v>
      </c>
      <c r="AB35" s="178">
        <f t="shared" si="35"/>
        <v>17131.894857473093</v>
      </c>
      <c r="AC35" s="469">
        <f t="shared" si="36"/>
        <v>8493.6788896355411</v>
      </c>
      <c r="AD35" s="127">
        <f t="shared" si="37"/>
        <v>1127.8992592592595</v>
      </c>
      <c r="AE35" s="127">
        <f t="shared" si="38"/>
        <v>439.22999999999996</v>
      </c>
      <c r="AF35" s="127">
        <f t="shared" si="39"/>
        <v>27192.70300636789</v>
      </c>
      <c r="AG35" s="289">
        <f t="shared" si="45"/>
        <v>62302.417526290788</v>
      </c>
      <c r="AH35" s="289">
        <f t="shared" si="45"/>
        <v>30479.085131436466</v>
      </c>
      <c r="AI35" s="473">
        <f t="shared" si="47"/>
        <v>92781.502657727237</v>
      </c>
    </row>
    <row r="36" spans="1:35" x14ac:dyDescent="0.25">
      <c r="A36" s="159">
        <v>17.5</v>
      </c>
      <c r="B36" s="134" t="s">
        <v>119</v>
      </c>
      <c r="C36" s="134">
        <v>57</v>
      </c>
      <c r="D36" s="134">
        <v>110</v>
      </c>
      <c r="E36" s="161">
        <v>0.75</v>
      </c>
      <c r="F36" s="144">
        <f t="shared" si="40"/>
        <v>2268.75</v>
      </c>
      <c r="G36" s="144">
        <f>(F36*1000)/J11</f>
        <v>664.90920600682273</v>
      </c>
      <c r="H36" s="161">
        <v>0.55000000000000004</v>
      </c>
      <c r="I36" s="144">
        <f t="shared" si="24"/>
        <v>665.5</v>
      </c>
      <c r="J36" s="162">
        <f t="shared" si="41"/>
        <v>195.04003376200134</v>
      </c>
      <c r="K36" s="243">
        <f t="shared" si="42"/>
        <v>13002.112411245547</v>
      </c>
      <c r="L36" s="150">
        <f t="shared" si="43"/>
        <v>7360.2601251963097</v>
      </c>
      <c r="M36" s="150"/>
      <c r="N36" s="150"/>
      <c r="O36" s="150">
        <f t="shared" si="25"/>
        <v>20362.372536441857</v>
      </c>
      <c r="P36" s="242">
        <f t="shared" si="26"/>
        <v>0</v>
      </c>
      <c r="Q36" s="288">
        <f t="shared" si="27"/>
        <v>44363.207547169804</v>
      </c>
      <c r="R36" s="280">
        <f t="shared" si="28"/>
        <v>25113.207547169808</v>
      </c>
      <c r="S36" s="274">
        <f t="shared" si="29"/>
        <v>69476.415094339609</v>
      </c>
      <c r="T36" s="176">
        <f t="shared" si="30"/>
        <v>11843.695231996529</v>
      </c>
      <c r="U36" s="177">
        <f t="shared" si="31"/>
        <v>8581.761485528059</v>
      </c>
      <c r="V36" s="127">
        <f t="shared" si="32"/>
        <v>674.37333333333345</v>
      </c>
      <c r="W36" s="127">
        <f t="shared" si="33"/>
        <v>357.89111111111112</v>
      </c>
      <c r="X36" s="150">
        <f t="shared" si="34"/>
        <v>21457.721161969035</v>
      </c>
      <c r="Y36" s="296">
        <f t="shared" si="44"/>
        <v>42711.64994490549</v>
      </c>
      <c r="Z36" s="276">
        <f t="shared" si="44"/>
        <v>30502.094659732848</v>
      </c>
      <c r="AA36" s="302">
        <f t="shared" si="46"/>
        <v>73213.744604638341</v>
      </c>
      <c r="AB36" s="178">
        <f t="shared" si="35"/>
        <v>10243.195876321322</v>
      </c>
      <c r="AC36" s="469">
        <f t="shared" si="36"/>
        <v>6920.7753915548865</v>
      </c>
      <c r="AD36" s="127">
        <f t="shared" si="37"/>
        <v>674.37333333333345</v>
      </c>
      <c r="AE36" s="127">
        <f t="shared" si="38"/>
        <v>357.89111111111112</v>
      </c>
      <c r="AF36" s="127">
        <f t="shared" si="39"/>
        <v>18196.235712320653</v>
      </c>
      <c r="AG36" s="296">
        <f t="shared" si="45"/>
        <v>37250.746143341683</v>
      </c>
      <c r="AH36" s="276">
        <f t="shared" si="45"/>
        <v>24834.810107096382</v>
      </c>
      <c r="AI36" s="473">
        <f t="shared" si="47"/>
        <v>62085.556250438065</v>
      </c>
    </row>
    <row r="37" spans="1:35" x14ac:dyDescent="0.25">
      <c r="A37" s="159">
        <v>12.5</v>
      </c>
      <c r="B37" s="134" t="s">
        <v>120</v>
      </c>
      <c r="C37" s="134">
        <v>13</v>
      </c>
      <c r="D37" s="134">
        <v>25</v>
      </c>
      <c r="E37" s="161">
        <v>0.9</v>
      </c>
      <c r="F37" s="144">
        <f t="shared" si="40"/>
        <v>2722.5</v>
      </c>
      <c r="G37" s="144">
        <f>(F37*1000)/J11</f>
        <v>797.89104720818727</v>
      </c>
      <c r="H37" s="161">
        <v>0.75</v>
      </c>
      <c r="I37" s="144">
        <f t="shared" si="24"/>
        <v>907.5</v>
      </c>
      <c r="J37" s="162">
        <f t="shared" si="41"/>
        <v>265.96368240272909</v>
      </c>
      <c r="K37" s="243">
        <f t="shared" si="42"/>
        <v>3558.4728704461504</v>
      </c>
      <c r="L37" s="150">
        <f t="shared" si="43"/>
        <v>2281.0723528500962</v>
      </c>
      <c r="M37" s="150"/>
      <c r="N37" s="150"/>
      <c r="O37" s="150">
        <f t="shared" si="25"/>
        <v>5839.5452232962471</v>
      </c>
      <c r="P37" s="242">
        <f t="shared" si="26"/>
        <v>0</v>
      </c>
      <c r="Q37" s="288">
        <f t="shared" si="27"/>
        <v>12141.509433962265</v>
      </c>
      <c r="R37" s="280">
        <f t="shared" si="28"/>
        <v>7783.0188679245284</v>
      </c>
      <c r="S37" s="274">
        <f t="shared" si="29"/>
        <v>19924.528301886796</v>
      </c>
      <c r="T37" s="176">
        <f t="shared" si="30"/>
        <v>3241.4323792832606</v>
      </c>
      <c r="U37" s="177">
        <f t="shared" si="31"/>
        <v>2659.6368240272909</v>
      </c>
      <c r="V37" s="127">
        <f t="shared" si="32"/>
        <v>184.56533333333337</v>
      </c>
      <c r="W37" s="127">
        <f t="shared" si="33"/>
        <v>110.91666666666666</v>
      </c>
      <c r="X37" s="150">
        <f t="shared" si="34"/>
        <v>6196.5512033105515</v>
      </c>
      <c r="Y37" s="280">
        <f t="shared" si="44"/>
        <v>11689.504195447818</v>
      </c>
      <c r="Z37" s="280">
        <f t="shared" si="44"/>
        <v>9453.1285102477832</v>
      </c>
      <c r="AA37" s="302">
        <f t="shared" si="46"/>
        <v>21142.6327056956</v>
      </c>
      <c r="AB37" s="178">
        <f t="shared" si="35"/>
        <v>2803.4009766774147</v>
      </c>
      <c r="AC37" s="469">
        <f t="shared" si="36"/>
        <v>2144.8684064736217</v>
      </c>
      <c r="AD37" s="127">
        <f t="shared" si="37"/>
        <v>184.56533333333337</v>
      </c>
      <c r="AE37" s="127">
        <f t="shared" si="38"/>
        <v>110.91666666666666</v>
      </c>
      <c r="AF37" s="127">
        <f t="shared" si="39"/>
        <v>5243.7513831510369</v>
      </c>
      <c r="AG37" s="280">
        <f t="shared" si="45"/>
        <v>10194.941049756673</v>
      </c>
      <c r="AH37" s="280">
        <f t="shared" si="45"/>
        <v>7696.7386695546638</v>
      </c>
      <c r="AI37" s="473">
        <f t="shared" si="47"/>
        <v>17891.679719311338</v>
      </c>
    </row>
    <row r="38" spans="1:35" x14ac:dyDescent="0.25">
      <c r="A38" s="159">
        <v>7.5</v>
      </c>
      <c r="B38" s="134" t="s">
        <v>121</v>
      </c>
      <c r="C38" s="134">
        <v>9</v>
      </c>
      <c r="D38" s="134">
        <v>11</v>
      </c>
      <c r="E38" s="161">
        <v>1</v>
      </c>
      <c r="F38" s="144">
        <f t="shared" si="40"/>
        <v>3025</v>
      </c>
      <c r="G38" s="144">
        <f>(F38*1000)/J11</f>
        <v>886.54560800909701</v>
      </c>
      <c r="H38" s="161">
        <v>0.9</v>
      </c>
      <c r="I38" s="144">
        <f t="shared" si="24"/>
        <v>1089</v>
      </c>
      <c r="J38" s="162">
        <f t="shared" si="41"/>
        <v>319.15641888327491</v>
      </c>
      <c r="K38" s="243">
        <f t="shared" si="42"/>
        <v>2737.2868234201155</v>
      </c>
      <c r="L38" s="150">
        <f t="shared" si="43"/>
        <v>1204.4062023048509</v>
      </c>
      <c r="M38" s="150"/>
      <c r="N38" s="150"/>
      <c r="O38" s="150">
        <f t="shared" si="25"/>
        <v>3941.6930257249664</v>
      </c>
      <c r="P38" s="242">
        <f t="shared" si="26"/>
        <v>0</v>
      </c>
      <c r="Q38" s="288">
        <f t="shared" si="27"/>
        <v>9339.6226415094334</v>
      </c>
      <c r="R38" s="280">
        <f t="shared" si="28"/>
        <v>4109.433962264151</v>
      </c>
      <c r="S38" s="274">
        <f t="shared" si="29"/>
        <v>13449.056603773584</v>
      </c>
      <c r="T38" s="176">
        <f t="shared" si="30"/>
        <v>2493.4095225255851</v>
      </c>
      <c r="U38" s="177">
        <f t="shared" si="31"/>
        <v>1404.2882430864097</v>
      </c>
      <c r="V38" s="127">
        <f t="shared" si="32"/>
        <v>141.97333333333336</v>
      </c>
      <c r="W38" s="127">
        <f t="shared" si="33"/>
        <v>58.563999999999993</v>
      </c>
      <c r="X38" s="150">
        <f t="shared" si="34"/>
        <v>4098.235098945328</v>
      </c>
      <c r="Y38" s="289">
        <f t="shared" si="44"/>
        <v>8991.9263041906288</v>
      </c>
      <c r="Z38" s="289">
        <f t="shared" si="44"/>
        <v>4991.2518534108294</v>
      </c>
      <c r="AA38" s="302">
        <f t="shared" si="46"/>
        <v>13983.178157601458</v>
      </c>
      <c r="AB38" s="178">
        <f t="shared" si="35"/>
        <v>2156.4622897518575</v>
      </c>
      <c r="AC38" s="469">
        <f t="shared" si="36"/>
        <v>1132.4905186180722</v>
      </c>
      <c r="AD38" s="127">
        <f t="shared" si="37"/>
        <v>141.97333333333336</v>
      </c>
      <c r="AE38" s="127">
        <f t="shared" si="38"/>
        <v>58.563999999999993</v>
      </c>
      <c r="AF38" s="127">
        <f t="shared" si="39"/>
        <v>3489.4901417032629</v>
      </c>
      <c r="AG38" s="289">
        <f t="shared" si="45"/>
        <v>7842.2623459666711</v>
      </c>
      <c r="AH38" s="289">
        <f t="shared" si="45"/>
        <v>4063.8780175248626</v>
      </c>
      <c r="AI38" s="473">
        <f t="shared" si="47"/>
        <v>11906.140363491533</v>
      </c>
    </row>
    <row r="39" spans="1:35" ht="15.75" thickBot="1" x14ac:dyDescent="0.3">
      <c r="A39" s="163">
        <v>2.5</v>
      </c>
      <c r="B39" s="137" t="s">
        <v>122</v>
      </c>
      <c r="C39" s="137">
        <v>4</v>
      </c>
      <c r="D39" s="137">
        <v>1</v>
      </c>
      <c r="E39" s="479">
        <v>1</v>
      </c>
      <c r="F39" s="151">
        <f t="shared" si="40"/>
        <v>3025</v>
      </c>
      <c r="G39" s="151">
        <f>(F39*1000)/J11</f>
        <v>886.54560800909701</v>
      </c>
      <c r="H39" s="164">
        <v>1</v>
      </c>
      <c r="I39" s="146">
        <f t="shared" si="24"/>
        <v>1210</v>
      </c>
      <c r="J39" s="165">
        <f t="shared" si="41"/>
        <v>354.61824320363883</v>
      </c>
      <c r="K39" s="243">
        <f t="shared" si="42"/>
        <v>1216.5719215200513</v>
      </c>
      <c r="L39" s="244">
        <f t="shared" si="43"/>
        <v>121.65719215200512</v>
      </c>
      <c r="M39" s="168"/>
      <c r="N39" s="168"/>
      <c r="O39" s="168">
        <f t="shared" si="25"/>
        <v>1338.2291136720564</v>
      </c>
      <c r="P39" s="250">
        <f t="shared" si="26"/>
        <v>0</v>
      </c>
      <c r="Q39" s="272">
        <f>(K39*3.412)+(M39*100)</f>
        <v>4150.9433962264147</v>
      </c>
      <c r="R39" s="289">
        <f>(L39*3.412)+(N39*100)</f>
        <v>415.09433962264148</v>
      </c>
      <c r="S39" s="456">
        <f t="shared" si="29"/>
        <v>4566.0377358490568</v>
      </c>
      <c r="T39" s="179">
        <f t="shared" si="30"/>
        <v>1108.1820100113712</v>
      </c>
      <c r="U39" s="180">
        <f t="shared" si="31"/>
        <v>141.84729728145552</v>
      </c>
      <c r="V39" s="181">
        <f t="shared" si="32"/>
        <v>63.09925925925927</v>
      </c>
      <c r="W39" s="181">
        <f t="shared" si="33"/>
        <v>5.9155555555555548</v>
      </c>
      <c r="X39" s="151">
        <f t="shared" si="34"/>
        <v>1319.0441221076414</v>
      </c>
      <c r="Y39" s="296">
        <f t="shared" si="44"/>
        <v>3996.4116907513908</v>
      </c>
      <c r="Z39" s="300">
        <f t="shared" si="44"/>
        <v>504.16685387988178</v>
      </c>
      <c r="AA39" s="275">
        <f>X39*3.412</f>
        <v>4500.5785446312721</v>
      </c>
      <c r="AB39" s="182">
        <f t="shared" si="35"/>
        <v>958.42768433415893</v>
      </c>
      <c r="AC39" s="180">
        <f t="shared" si="36"/>
        <v>114.39298167859317</v>
      </c>
      <c r="AD39" s="181">
        <f t="shared" si="37"/>
        <v>63.09925925925927</v>
      </c>
      <c r="AE39" s="181">
        <f t="shared" si="38"/>
        <v>5.9155555555555548</v>
      </c>
      <c r="AF39" s="181">
        <f t="shared" si="39"/>
        <v>1141.8354808275669</v>
      </c>
      <c r="AG39" s="296">
        <f t="shared" si="45"/>
        <v>3485.4499315407429</v>
      </c>
      <c r="AH39" s="300">
        <f t="shared" si="45"/>
        <v>410.49272904291547</v>
      </c>
      <c r="AI39" s="275">
        <f>AF39*3.412</f>
        <v>3895.9426605836584</v>
      </c>
    </row>
    <row r="40" spans="1:35" ht="15.75" thickBot="1" x14ac:dyDescent="0.3">
      <c r="A40" s="578" t="s">
        <v>145</v>
      </c>
      <c r="B40" s="579"/>
      <c r="C40" s="140">
        <f>SUM(C28:C39)</f>
        <v>1454</v>
      </c>
      <c r="D40" s="140">
        <f>SUM(D28:D39)</f>
        <v>3552</v>
      </c>
      <c r="E40" s="65"/>
      <c r="F40" s="65"/>
      <c r="G40" s="65"/>
      <c r="H40" s="65"/>
      <c r="I40" s="66"/>
      <c r="J40" s="67"/>
      <c r="K40" s="169">
        <f t="shared" ref="K40:O40" si="48">SUM(K28:K39)</f>
        <v>122815.97690725299</v>
      </c>
      <c r="L40" s="170">
        <f t="shared" si="48"/>
        <v>82104.005839545222</v>
      </c>
      <c r="M40" s="170">
        <f t="shared" si="48"/>
        <v>0</v>
      </c>
      <c r="N40" s="170">
        <f t="shared" si="48"/>
        <v>0</v>
      </c>
      <c r="O40" s="170">
        <f t="shared" si="48"/>
        <v>204919.9827467982</v>
      </c>
      <c r="P40" s="258">
        <f>SUM(P28:P39)</f>
        <v>0</v>
      </c>
      <c r="Q40" s="290">
        <f>SUM(Q28:Q39)</f>
        <v>419048.11320754717</v>
      </c>
      <c r="R40" s="290">
        <f>SUM(R28:R39)</f>
        <v>280138.86792452837</v>
      </c>
      <c r="S40" s="291">
        <f>SUM(S28:S39)</f>
        <v>699186.98113207542</v>
      </c>
      <c r="T40" s="454">
        <f t="shared" ref="T40:W40" si="49">SUM(T28:T39)</f>
        <v>111873.74436567294</v>
      </c>
      <c r="U40" s="153">
        <f t="shared" si="49"/>
        <v>95729.903989308688</v>
      </c>
      <c r="V40" s="153">
        <f t="shared" si="49"/>
        <v>6370.0279703703718</v>
      </c>
      <c r="W40" s="153">
        <f t="shared" si="49"/>
        <v>3992.2901333333325</v>
      </c>
      <c r="X40" s="241">
        <f>SUM(X28:X39)</f>
        <v>217965.96645868535</v>
      </c>
      <c r="Y40" s="271">
        <f>SUM(Y28:Y39)</f>
        <v>403447.75121057982</v>
      </c>
      <c r="Z40" s="271">
        <f>SUM(Z28:Z39)</f>
        <v>340252.12634645466</v>
      </c>
      <c r="AA40" s="298">
        <f>SUM(AA28:AA39)</f>
        <v>743699.87755703449</v>
      </c>
      <c r="AB40" s="183">
        <f t="shared" ref="AB40:AF40" si="50">SUM(AB28:AB39)</f>
        <v>96755.670802744164</v>
      </c>
      <c r="AC40" s="153">
        <f t="shared" si="50"/>
        <v>77201.535475248951</v>
      </c>
      <c r="AD40" s="153">
        <f t="shared" si="50"/>
        <v>6370.0279703703718</v>
      </c>
      <c r="AE40" s="153">
        <f t="shared" si="50"/>
        <v>3992.2901333333325</v>
      </c>
      <c r="AF40" s="153">
        <f t="shared" si="50"/>
        <v>184319.52438169683</v>
      </c>
      <c r="AG40" s="271">
        <f>SUM(AG28:AG39)</f>
        <v>351864.8842138669</v>
      </c>
      <c r="AH40" s="271">
        <f>SUM(AH28:AH39)</f>
        <v>277033.33297648269</v>
      </c>
      <c r="AI40" s="298">
        <f>SUM(AI28:AI39)</f>
        <v>628898.21719034947</v>
      </c>
    </row>
    <row r="41" spans="1:35" ht="15" customHeight="1" x14ac:dyDescent="0.25">
      <c r="A41" s="580" t="s">
        <v>144</v>
      </c>
      <c r="B41" s="581"/>
      <c r="C41" s="166">
        <f>C24+C40</f>
        <v>2808</v>
      </c>
      <c r="D41" s="166">
        <f>D24+D40</f>
        <v>5952</v>
      </c>
      <c r="E41" s="68"/>
      <c r="F41" s="68"/>
      <c r="G41" s="68"/>
      <c r="H41" s="68"/>
      <c r="I41" s="68"/>
      <c r="J41" s="453"/>
      <c r="K41" s="42"/>
      <c r="L41" s="41"/>
      <c r="M41" s="41"/>
      <c r="N41" s="41"/>
      <c r="O41" s="41"/>
      <c r="P41" s="43"/>
      <c r="Q41" s="43"/>
      <c r="R41" s="43"/>
      <c r="S41" s="40"/>
      <c r="T41" s="315"/>
      <c r="U41" s="41"/>
      <c r="V41" s="49"/>
      <c r="W41" s="41"/>
      <c r="X41" s="293"/>
      <c r="Y41" s="252"/>
      <c r="Z41" s="252"/>
      <c r="AA41" s="252"/>
      <c r="AB41" s="42"/>
      <c r="AC41" s="41"/>
      <c r="AD41" s="49"/>
      <c r="AE41" s="41"/>
      <c r="AF41" s="465"/>
      <c r="AG41" s="43"/>
      <c r="AH41" s="43"/>
      <c r="AI41" s="40"/>
    </row>
    <row r="42" spans="1:35" ht="15.75" thickBot="1" x14ac:dyDescent="0.3">
      <c r="A42" s="583" t="s">
        <v>123</v>
      </c>
      <c r="B42" s="584"/>
      <c r="C42" s="585">
        <f>C41+D41</f>
        <v>8760</v>
      </c>
      <c r="D42" s="585"/>
      <c r="E42" s="16"/>
      <c r="F42" s="16"/>
      <c r="G42" s="16"/>
      <c r="H42" s="16"/>
      <c r="I42" s="16"/>
      <c r="J42" s="39"/>
      <c r="K42" s="38"/>
      <c r="L42" s="16"/>
      <c r="M42" s="16"/>
      <c r="N42" s="16"/>
      <c r="O42" s="16"/>
      <c r="P42" s="39"/>
      <c r="Q42" s="39"/>
      <c r="R42" s="39"/>
      <c r="S42" s="17"/>
      <c r="T42" s="455"/>
      <c r="U42" s="16"/>
      <c r="V42" s="16"/>
      <c r="W42" s="16"/>
      <c r="X42" s="39"/>
      <c r="Y42" s="39"/>
      <c r="Z42" s="253"/>
      <c r="AA42" s="253"/>
      <c r="AB42" s="38"/>
      <c r="AC42" s="16"/>
      <c r="AD42" s="16"/>
      <c r="AE42" s="16"/>
      <c r="AF42" s="16"/>
      <c r="AG42" s="39"/>
      <c r="AH42" s="39"/>
      <c r="AI42" s="17"/>
    </row>
    <row r="43" spans="1:35" x14ac:dyDescent="0.25">
      <c r="A43" s="108" t="s">
        <v>143</v>
      </c>
      <c r="B43" s="108"/>
      <c r="C43" s="108"/>
      <c r="D43" s="108"/>
      <c r="E43" s="106"/>
      <c r="F43" s="106"/>
      <c r="G43" s="47"/>
    </row>
    <row r="44" spans="1:35" x14ac:dyDescent="0.25">
      <c r="A44" s="588" t="s">
        <v>142</v>
      </c>
      <c r="B44" s="588"/>
      <c r="C44" s="588"/>
      <c r="D44" s="588"/>
      <c r="E44" s="588"/>
      <c r="F44" s="588"/>
    </row>
    <row r="45" spans="1:35" ht="15" customHeight="1" x14ac:dyDescent="0.25">
      <c r="A45" s="582" t="s">
        <v>171</v>
      </c>
      <c r="B45" s="582"/>
      <c r="C45" s="582"/>
      <c r="D45" s="582"/>
      <c r="E45" s="582"/>
      <c r="F45" s="106"/>
      <c r="G45" s="48"/>
    </row>
    <row r="46" spans="1:35" ht="15" customHeight="1" x14ac:dyDescent="0.25"/>
    <row r="47" spans="1:35" x14ac:dyDescent="0.25">
      <c r="A47" s="12"/>
      <c r="B47" s="12"/>
      <c r="C47" s="12"/>
      <c r="D47" s="12"/>
    </row>
    <row r="48" spans="1:35" x14ac:dyDescent="0.25">
      <c r="A48" s="12"/>
      <c r="B48" s="12"/>
      <c r="C48" s="12"/>
      <c r="D48" s="12"/>
    </row>
    <row r="49" spans="1:19" x14ac:dyDescent="0.25">
      <c r="A49" s="12"/>
      <c r="B49" s="12"/>
      <c r="C49" s="269"/>
      <c r="D49" s="269"/>
      <c r="E49" s="269"/>
      <c r="F49" s="269"/>
      <c r="G49" s="269"/>
      <c r="H49" s="269"/>
      <c r="I49" s="269"/>
      <c r="J49" s="269"/>
      <c r="K49" s="269"/>
      <c r="L49" s="251"/>
    </row>
    <row r="50" spans="1:19" x14ac:dyDescent="0.25">
      <c r="A50" s="12"/>
    </row>
    <row r="51" spans="1:19" ht="75" hidden="1" x14ac:dyDescent="0.25">
      <c r="A51" s="12"/>
      <c r="B51" s="7" t="s">
        <v>265</v>
      </c>
      <c r="C51" s="7" t="s">
        <v>269</v>
      </c>
      <c r="D51" s="7" t="s">
        <v>266</v>
      </c>
      <c r="E51" s="7" t="s">
        <v>270</v>
      </c>
      <c r="F51" s="7" t="s">
        <v>267</v>
      </c>
      <c r="G51" s="7" t="s">
        <v>271</v>
      </c>
      <c r="H51" s="7" t="s">
        <v>268</v>
      </c>
      <c r="I51" s="7" t="s">
        <v>272</v>
      </c>
      <c r="S51" s="48"/>
    </row>
    <row r="52" spans="1:19" hidden="1" x14ac:dyDescent="0.25">
      <c r="A52" s="12"/>
      <c r="B52" s="305">
        <f>Q24</f>
        <v>650030.18102564092</v>
      </c>
      <c r="C52" s="306" t="e">
        <f>(K24*3.412*'Carbon Cost'!#REF!)+(#REF!*3.412*'Carbon Cost'!#REF!)</f>
        <v>#REF!</v>
      </c>
      <c r="D52" s="305" t="e">
        <f>#REF!</f>
        <v>#REF!</v>
      </c>
      <c r="E52" s="306" t="e">
        <f>(#REF!*3.412*'Carbon Cost'!#REF!)+(#REF!*3.412*'Carbon Cost'!#REF!)+(#REF!*3.412*'Carbon Cost'!#REF!)</f>
        <v>#REF!</v>
      </c>
      <c r="F52" s="305">
        <f>Y24</f>
        <v>512505.30872187868</v>
      </c>
      <c r="G52" s="306" t="e">
        <f>(T24*3.412*'Carbon Cost'!#REF!)+('Energy Consumption'!V24*3.412*'Carbon Cost'!#REF!)</f>
        <v>#REF!</v>
      </c>
      <c r="H52" s="306">
        <f>AG24</f>
        <v>408623.41690785188</v>
      </c>
      <c r="I52" s="306" t="e">
        <f>(AB24*3.412*'Carbon Cost'!#REF!)+('Energy Consumption'!AD24*3.412*'Carbon Cost'!#REF!)</f>
        <v>#REF!</v>
      </c>
    </row>
    <row r="53" spans="1:19" hidden="1" x14ac:dyDescent="0.25">
      <c r="A53" s="12"/>
      <c r="B53" s="305">
        <f>R24</f>
        <v>53511.970769230771</v>
      </c>
      <c r="C53" s="306" t="e">
        <f>(L24*3.412*'Carbon Cost'!#REF!)+(#REF!*3.41*'Carbon Cost'!#REF!)</f>
        <v>#REF!</v>
      </c>
      <c r="D53" s="305" t="e">
        <f>#REF!</f>
        <v>#REF!</v>
      </c>
      <c r="E53" s="306" t="e">
        <f>(#REF!*3.412*'Carbon Cost'!#REF!)+('Energy Consumption'!#REF!*3.412*'Carbon Cost'!#REF!)+('Energy Consumption'!#REF!*3.412*'Carbon Cost'!#REF!)</f>
        <v>#REF!</v>
      </c>
      <c r="F53" s="305">
        <f>Z24</f>
        <v>50528.404041481481</v>
      </c>
      <c r="G53" s="306" t="e">
        <f>(U24*3.412*'Carbon Cost'!#REF!)+('Energy Consumption'!W24*3.412*'Carbon Cost'!#REF!)</f>
        <v>#REF!</v>
      </c>
      <c r="H53" s="306">
        <f>AH24</f>
        <v>38677.251158045896</v>
      </c>
      <c r="I53" s="306" t="e">
        <f>(AC24*3.412*'Carbon Cost'!#REF!)+('Energy Consumption'!AE24*3.412*'Carbon Cost'!#REF!)</f>
        <v>#REF!</v>
      </c>
    </row>
    <row r="54" spans="1:19" hidden="1" x14ac:dyDescent="0.25">
      <c r="A54" s="12"/>
      <c r="B54" s="547"/>
      <c r="C54" s="548"/>
      <c r="D54" s="549"/>
      <c r="E54" s="547"/>
      <c r="F54" s="548"/>
      <c r="G54" s="549"/>
    </row>
    <row r="55" spans="1:19" ht="90" hidden="1" x14ac:dyDescent="0.25">
      <c r="A55" s="12"/>
      <c r="B55" s="7" t="s">
        <v>277</v>
      </c>
      <c r="C55" s="7" t="s">
        <v>278</v>
      </c>
      <c r="D55" s="7" t="s">
        <v>273</v>
      </c>
      <c r="E55" s="7" t="s">
        <v>275</v>
      </c>
      <c r="F55" s="7" t="s">
        <v>274</v>
      </c>
      <c r="G55" s="7" t="s">
        <v>276</v>
      </c>
    </row>
    <row r="56" spans="1:19" hidden="1" x14ac:dyDescent="0.25">
      <c r="A56" s="12"/>
      <c r="B56" s="305">
        <f>Q40</f>
        <v>419048.11320754717</v>
      </c>
      <c r="C56" s="306" t="e">
        <f>(K40*3.412*'Carbon Cost'!#REF!)+('Energy Consumption'!#REF!*3.412*'Carbon Cost'!#REF!)+('Energy Consumption'!M40*100*'Carbon Cost'!E21)</f>
        <v>#REF!</v>
      </c>
      <c r="D56" s="305">
        <f>Y40</f>
        <v>403447.75121057982</v>
      </c>
      <c r="E56" s="306" t="e">
        <f>(T40*3.412*'Carbon Cost'!#REF!)+('Energy Consumption'!V40*3.412*'Carbon Cost'!#REF!)</f>
        <v>#REF!</v>
      </c>
      <c r="F56" s="306">
        <f>AG40</f>
        <v>351864.8842138669</v>
      </c>
      <c r="G56" s="306" t="e">
        <f>(AB40*3.412*'Carbon Cost'!#REF!)+('Energy Consumption'!AD40*3.412*'Carbon Cost'!#REF!)</f>
        <v>#REF!</v>
      </c>
    </row>
    <row r="57" spans="1:19" hidden="1" x14ac:dyDescent="0.25">
      <c r="A57" s="12"/>
      <c r="B57" s="305">
        <f>R40</f>
        <v>280138.86792452837</v>
      </c>
      <c r="C57" s="306" t="e">
        <f>(L40*3.412*'Carbon Cost'!#REF!)+('Energy Consumption'!#REF!*3.412*'Carbon Cost'!#REF!)+('Energy Consumption'!N40*100*'Carbon Cost'!E21)</f>
        <v>#REF!</v>
      </c>
      <c r="D57" s="305">
        <f>Z40</f>
        <v>340252.12634645466</v>
      </c>
      <c r="E57" s="306" t="e">
        <f>(U40*3.412*'Carbon Cost'!#REF!)+('Energy Consumption'!W40*3.412*'Carbon Cost'!#REF!)</f>
        <v>#REF!</v>
      </c>
      <c r="F57" s="306">
        <f>AH40</f>
        <v>277033.33297648269</v>
      </c>
      <c r="G57" s="306" t="e">
        <f>(AC40*3.412*'Carbon Cost'!#REF!)+('Energy Consumption'!AE40*3.412*'Carbon Cost'!#REF!)</f>
        <v>#REF!</v>
      </c>
    </row>
    <row r="58" spans="1:19" x14ac:dyDescent="0.25">
      <c r="A58" s="12"/>
    </row>
    <row r="59" spans="1:19" x14ac:dyDescent="0.25">
      <c r="A59" s="12"/>
      <c r="B59" s="12"/>
      <c r="C59" s="12"/>
      <c r="D59" s="12"/>
    </row>
    <row r="60" spans="1:19" x14ac:dyDescent="0.25">
      <c r="A60" s="12"/>
      <c r="B60" s="12"/>
      <c r="C60" s="12"/>
      <c r="D60" s="12"/>
    </row>
    <row r="61" spans="1:19" x14ac:dyDescent="0.25">
      <c r="A61" s="12"/>
      <c r="B61" s="12"/>
      <c r="C61" s="12"/>
      <c r="D61" s="12"/>
    </row>
    <row r="62" spans="1:19" x14ac:dyDescent="0.25">
      <c r="A62" s="12"/>
      <c r="B62" s="12"/>
      <c r="C62" s="12"/>
      <c r="D62" s="12"/>
    </row>
    <row r="63" spans="1:19" x14ac:dyDescent="0.25">
      <c r="A63" s="12"/>
      <c r="B63" s="12"/>
      <c r="C63" s="12"/>
      <c r="D63" s="12"/>
    </row>
    <row r="64" spans="1:19" x14ac:dyDescent="0.25">
      <c r="A64" s="12"/>
      <c r="B64" s="12"/>
      <c r="C64" s="12"/>
      <c r="D64" s="12"/>
    </row>
    <row r="65" spans="1:4" x14ac:dyDescent="0.25">
      <c r="A65" s="12"/>
      <c r="B65" s="12"/>
      <c r="C65" s="12"/>
      <c r="D65" s="12"/>
    </row>
    <row r="66" spans="1:4" x14ac:dyDescent="0.25">
      <c r="A66" s="37"/>
      <c r="B66" s="37"/>
      <c r="C66" s="37"/>
      <c r="D66" s="37"/>
    </row>
    <row r="67" spans="1:4" x14ac:dyDescent="0.25">
      <c r="A67" s="37"/>
      <c r="B67" s="37"/>
      <c r="C67" s="37"/>
      <c r="D67" s="37"/>
    </row>
  </sheetData>
  <mergeCells count="35">
    <mergeCell ref="G16:G24"/>
    <mergeCell ref="J16:J24"/>
    <mergeCell ref="P16:P24"/>
    <mergeCell ref="A1:E1"/>
    <mergeCell ref="G1:Q1"/>
    <mergeCell ref="A3:C3"/>
    <mergeCell ref="G3:I3"/>
    <mergeCell ref="G2:I2"/>
    <mergeCell ref="A4:C4"/>
    <mergeCell ref="G4:I4"/>
    <mergeCell ref="A5:C5"/>
    <mergeCell ref="A24:B24"/>
    <mergeCell ref="G9:I9"/>
    <mergeCell ref="G8:I8"/>
    <mergeCell ref="G7:I7"/>
    <mergeCell ref="G10:I10"/>
    <mergeCell ref="AB13:AI13"/>
    <mergeCell ref="G14:G15"/>
    <mergeCell ref="J14:J15"/>
    <mergeCell ref="P14:P15"/>
    <mergeCell ref="A13:J13"/>
    <mergeCell ref="K13:S13"/>
    <mergeCell ref="T13:AA13"/>
    <mergeCell ref="AB25:AI25"/>
    <mergeCell ref="A40:B40"/>
    <mergeCell ref="A41:B41"/>
    <mergeCell ref="A45:E45"/>
    <mergeCell ref="B54:D54"/>
    <mergeCell ref="E54:G54"/>
    <mergeCell ref="T25:AA25"/>
    <mergeCell ref="A42:B42"/>
    <mergeCell ref="C42:D42"/>
    <mergeCell ref="A25:J25"/>
    <mergeCell ref="K25:S25"/>
    <mergeCell ref="A44:F44"/>
  </mergeCells>
  <pageMargins left="0.7" right="0.7" top="0.75" bottom="0.75" header="0.3" footer="0.3"/>
  <pageSetup paperSize="3" scale="4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519FF5-83C3-4FC7-ABA5-9B700569987D}">
  <sheetPr codeName="Sheet7"/>
  <dimension ref="A1:Q21"/>
  <sheetViews>
    <sheetView view="pageBreakPreview" zoomScaleNormal="100" zoomScaleSheetLayoutView="100" workbookViewId="0">
      <selection activeCell="V16" sqref="V16"/>
    </sheetView>
  </sheetViews>
  <sheetFormatPr defaultRowHeight="15" x14ac:dyDescent="0.25"/>
  <cols>
    <col min="1" max="1" width="2" bestFit="1" customWidth="1"/>
    <col min="2" max="2" width="52.42578125" bestFit="1" customWidth="1"/>
    <col min="3" max="3" width="9" bestFit="1" customWidth="1"/>
    <col min="4" max="14" width="6.7109375" customWidth="1"/>
    <col min="15" max="15" width="8.42578125" style="30" customWidth="1"/>
    <col min="16" max="16" width="11.5703125" hidden="1" customWidth="1"/>
    <col min="17" max="17" width="9.140625" hidden="1" customWidth="1"/>
    <col min="18" max="18" width="3.7109375" customWidth="1"/>
  </cols>
  <sheetData>
    <row r="1" spans="2:17" ht="15.75" thickBot="1" x14ac:dyDescent="0.3"/>
    <row r="2" spans="2:17" ht="15.75" thickBot="1" x14ac:dyDescent="0.3">
      <c r="B2" s="329" t="s">
        <v>232</v>
      </c>
      <c r="C2" s="330">
        <f>Summary!B5</f>
        <v>121000</v>
      </c>
      <c r="D2" s="61"/>
    </row>
    <row r="3" spans="2:17" ht="15.75" thickBot="1" x14ac:dyDescent="0.3"/>
    <row r="4" spans="2:17" ht="75.75" thickBot="1" x14ac:dyDescent="0.3">
      <c r="B4" s="604" t="s">
        <v>303</v>
      </c>
      <c r="C4" s="331" t="s">
        <v>82</v>
      </c>
      <c r="D4" s="74" t="s">
        <v>83</v>
      </c>
      <c r="E4" s="74" t="s">
        <v>84</v>
      </c>
      <c r="F4" s="74" t="s">
        <v>85</v>
      </c>
      <c r="G4" s="74" t="s">
        <v>86</v>
      </c>
      <c r="H4" s="74" t="s">
        <v>87</v>
      </c>
      <c r="I4" s="74" t="s">
        <v>88</v>
      </c>
      <c r="J4" s="74" t="s">
        <v>89</v>
      </c>
      <c r="K4" s="74" t="s">
        <v>90</v>
      </c>
      <c r="L4" s="74" t="s">
        <v>91</v>
      </c>
      <c r="M4" s="74" t="s">
        <v>92</v>
      </c>
      <c r="N4" s="74" t="s">
        <v>93</v>
      </c>
      <c r="O4" s="75" t="s">
        <v>94</v>
      </c>
      <c r="P4" s="466" t="s">
        <v>233</v>
      </c>
      <c r="Q4" s="466" t="s">
        <v>214</v>
      </c>
    </row>
    <row r="5" spans="2:17" ht="15.75" thickBot="1" x14ac:dyDescent="0.3">
      <c r="B5" s="605"/>
      <c r="C5" s="569" t="s">
        <v>80</v>
      </c>
      <c r="D5" s="570"/>
      <c r="E5" s="570"/>
      <c r="F5" s="570"/>
      <c r="G5" s="570"/>
      <c r="H5" s="570"/>
      <c r="I5" s="570"/>
      <c r="J5" s="570"/>
      <c r="K5" s="570"/>
      <c r="L5" s="570"/>
      <c r="M5" s="570"/>
      <c r="N5" s="570"/>
      <c r="O5" s="571"/>
      <c r="P5" s="113"/>
      <c r="Q5" s="113"/>
    </row>
    <row r="6" spans="2:17" x14ac:dyDescent="0.25">
      <c r="B6" s="328" t="s">
        <v>163</v>
      </c>
      <c r="C6" s="188">
        <v>0</v>
      </c>
      <c r="D6" s="189">
        <v>0</v>
      </c>
      <c r="E6" s="189">
        <v>0</v>
      </c>
      <c r="F6" s="189">
        <v>0</v>
      </c>
      <c r="G6" s="189">
        <v>0.25</v>
      </c>
      <c r="H6" s="189">
        <v>0.75</v>
      </c>
      <c r="I6" s="189">
        <v>1</v>
      </c>
      <c r="J6" s="189">
        <v>1</v>
      </c>
      <c r="K6" s="189">
        <v>0.5</v>
      </c>
      <c r="L6" s="189">
        <v>0.25</v>
      </c>
      <c r="M6" s="189">
        <v>0</v>
      </c>
      <c r="N6" s="190">
        <v>0</v>
      </c>
      <c r="O6" s="339">
        <v>1</v>
      </c>
      <c r="P6" s="333"/>
      <c r="Q6" s="117"/>
    </row>
    <row r="7" spans="2:17" x14ac:dyDescent="0.25">
      <c r="B7" s="489" t="s">
        <v>409</v>
      </c>
      <c r="C7" s="191">
        <f>$C$6*O7</f>
        <v>0</v>
      </c>
      <c r="D7" s="192">
        <f>$D$6*O7</f>
        <v>0</v>
      </c>
      <c r="E7" s="192">
        <f>$E$6*O7</f>
        <v>0</v>
      </c>
      <c r="F7" s="192">
        <f>$F$6*O7</f>
        <v>0</v>
      </c>
      <c r="G7" s="193">
        <f>$G$6*O7</f>
        <v>77.564102564102569</v>
      </c>
      <c r="H7" s="193">
        <f>$H$6*O7</f>
        <v>232.69230769230771</v>
      </c>
      <c r="I7" s="193">
        <f>$I$6*O7</f>
        <v>310.25641025641028</v>
      </c>
      <c r="J7" s="193">
        <f>$J$6*O7</f>
        <v>310.25641025641028</v>
      </c>
      <c r="K7" s="193">
        <f>$K$6*O7</f>
        <v>155.12820512820514</v>
      </c>
      <c r="L7" s="193">
        <f>$L$6*O7</f>
        <v>77.564102564102569</v>
      </c>
      <c r="M7" s="193">
        <f>$M$6*O7</f>
        <v>0</v>
      </c>
      <c r="N7" s="194">
        <f>$N$6*O7</f>
        <v>0</v>
      </c>
      <c r="O7" s="336">
        <f>'Energy Consumption'!J3*'Energy Consumption'!D4</f>
        <v>310.25641025641028</v>
      </c>
      <c r="P7" s="334">
        <f t="shared" ref="P7:P10" si="0">SUM(C7:N7)</f>
        <v>1163.4615384615386</v>
      </c>
      <c r="Q7" s="118"/>
    </row>
    <row r="8" spans="2:17" x14ac:dyDescent="0.25">
      <c r="B8" s="328" t="s">
        <v>1</v>
      </c>
      <c r="C8" s="191">
        <f>$C$6*O8</f>
        <v>0</v>
      </c>
      <c r="D8" s="192">
        <f>$D$6*O8</f>
        <v>0</v>
      </c>
      <c r="E8" s="192">
        <f t="shared" ref="E8:E9" si="1">$E$6*O8</f>
        <v>0</v>
      </c>
      <c r="F8" s="192">
        <f t="shared" ref="F8:F9" si="2">$F$6*O8</f>
        <v>0</v>
      </c>
      <c r="G8" s="193">
        <f t="shared" ref="G8:G9" si="3">$G$6*O8</f>
        <v>61.154105594956668</v>
      </c>
      <c r="H8" s="193">
        <f t="shared" ref="H8:H9" si="4">$H$6*O8</f>
        <v>183.46231678487001</v>
      </c>
      <c r="I8" s="193">
        <f t="shared" ref="I8:I9" si="5">$I$6*O8</f>
        <v>244.61642237982667</v>
      </c>
      <c r="J8" s="193">
        <f t="shared" ref="J8:J9" si="6">$J$6*O8</f>
        <v>244.61642237982667</v>
      </c>
      <c r="K8" s="193">
        <f t="shared" ref="K8:K9" si="7">$K$6*O8</f>
        <v>122.30821118991334</v>
      </c>
      <c r="L8" s="193">
        <f t="shared" ref="L8:L9" si="8">$L$6*O8</f>
        <v>61.154105594956668</v>
      </c>
      <c r="M8" s="193">
        <f t="shared" ref="M8:M9" si="9">$M$6*O8</f>
        <v>0</v>
      </c>
      <c r="N8" s="194">
        <f t="shared" ref="N8:N9" si="10">$N$6*O8</f>
        <v>0</v>
      </c>
      <c r="O8" s="336">
        <f>('Energy Consumption'!J7*'Energy Consumption'!D4)+'Energy Consumption'!R7</f>
        <v>244.61642237982667</v>
      </c>
      <c r="P8" s="334">
        <f t="shared" si="0"/>
        <v>917.31158392435009</v>
      </c>
      <c r="Q8" s="118">
        <f>P8/$C$2</f>
        <v>7.5810874704491747E-3</v>
      </c>
    </row>
    <row r="9" spans="2:17" x14ac:dyDescent="0.25">
      <c r="B9" s="328" t="s">
        <v>0</v>
      </c>
      <c r="C9" s="191">
        <f t="shared" ref="C9" si="11">$C$6*O9</f>
        <v>0</v>
      </c>
      <c r="D9" s="192">
        <f t="shared" ref="D9" si="12">$D$6*O9</f>
        <v>0</v>
      </c>
      <c r="E9" s="192">
        <f t="shared" si="1"/>
        <v>0</v>
      </c>
      <c r="F9" s="192">
        <f t="shared" si="2"/>
        <v>0</v>
      </c>
      <c r="G9" s="193">
        <f t="shared" si="3"/>
        <v>48.758518518518521</v>
      </c>
      <c r="H9" s="193">
        <f t="shared" si="4"/>
        <v>146.27555555555557</v>
      </c>
      <c r="I9" s="193">
        <f t="shared" si="5"/>
        <v>195.03407407407408</v>
      </c>
      <c r="J9" s="193">
        <f t="shared" si="6"/>
        <v>195.03407407407408</v>
      </c>
      <c r="K9" s="193">
        <f t="shared" si="7"/>
        <v>97.517037037037042</v>
      </c>
      <c r="L9" s="193">
        <f t="shared" si="8"/>
        <v>48.758518518518521</v>
      </c>
      <c r="M9" s="193">
        <f t="shared" si="9"/>
        <v>0</v>
      </c>
      <c r="N9" s="194">
        <f t="shared" si="10"/>
        <v>0</v>
      </c>
      <c r="O9" s="336">
        <f>'Energy Consumption'!J9*'Energy Consumption'!D4+'Energy Consumption'!R7</f>
        <v>195.03407407407408</v>
      </c>
      <c r="P9" s="334">
        <f t="shared" si="0"/>
        <v>731.37777777777785</v>
      </c>
      <c r="Q9" s="118">
        <f>P9/$C$2</f>
        <v>6.0444444444444452E-3</v>
      </c>
    </row>
    <row r="10" spans="2:17" ht="15.75" thickBot="1" x14ac:dyDescent="0.3">
      <c r="B10" s="328" t="s">
        <v>2</v>
      </c>
      <c r="C10" s="191">
        <f t="shared" ref="C10" si="13">$C$6*O10</f>
        <v>0</v>
      </c>
      <c r="D10" s="192">
        <f t="shared" ref="D10" si="14">$D$6*O10</f>
        <v>0</v>
      </c>
      <c r="E10" s="192">
        <f t="shared" ref="E10" si="15">$E$6*O10</f>
        <v>0</v>
      </c>
      <c r="F10" s="192">
        <f t="shared" ref="F10" si="16">$F$6*O10</f>
        <v>0</v>
      </c>
      <c r="G10" s="193">
        <f t="shared" ref="G10" si="17">$G$6*O10</f>
        <v>48.758518518518521</v>
      </c>
      <c r="H10" s="193">
        <f t="shared" ref="H10" si="18">$H$6*O10</f>
        <v>146.27555555555557</v>
      </c>
      <c r="I10" s="193">
        <f t="shared" ref="I10" si="19">$I$6*O10</f>
        <v>195.03407407407408</v>
      </c>
      <c r="J10" s="193">
        <f t="shared" ref="J10" si="20">$J$6*O10</f>
        <v>195.03407407407408</v>
      </c>
      <c r="K10" s="193">
        <f t="shared" ref="K10" si="21">$K$6*O10</f>
        <v>97.517037037037042</v>
      </c>
      <c r="L10" s="193">
        <f t="shared" ref="L10" si="22">$L$6*O10</f>
        <v>48.758518518518521</v>
      </c>
      <c r="M10" s="193">
        <f t="shared" ref="M10" si="23">$M$6*O10</f>
        <v>0</v>
      </c>
      <c r="N10" s="194">
        <f t="shared" ref="N10" si="24">$N$6*O10</f>
        <v>0</v>
      </c>
      <c r="O10" s="336">
        <f>O9</f>
        <v>195.03407407407408</v>
      </c>
      <c r="P10" s="334">
        <f t="shared" si="0"/>
        <v>731.37777777777785</v>
      </c>
      <c r="Q10" s="485"/>
    </row>
    <row r="11" spans="2:17" ht="15.75" thickBot="1" x14ac:dyDescent="0.3">
      <c r="B11" s="114"/>
      <c r="C11" s="569" t="s">
        <v>81</v>
      </c>
      <c r="D11" s="570"/>
      <c r="E11" s="570"/>
      <c r="F11" s="570"/>
      <c r="G11" s="570"/>
      <c r="H11" s="570"/>
      <c r="I11" s="570"/>
      <c r="J11" s="570"/>
      <c r="K11" s="570"/>
      <c r="L11" s="570"/>
      <c r="M11" s="570"/>
      <c r="N11" s="570"/>
      <c r="O11" s="571"/>
      <c r="P11" s="113"/>
      <c r="Q11" s="115"/>
    </row>
    <row r="12" spans="2:17" x14ac:dyDescent="0.25">
      <c r="B12" s="76" t="s">
        <v>163</v>
      </c>
      <c r="C12" s="188">
        <v>1</v>
      </c>
      <c r="D12" s="189">
        <v>1</v>
      </c>
      <c r="E12" s="189">
        <v>0.75</v>
      </c>
      <c r="F12" s="189">
        <v>0.5</v>
      </c>
      <c r="G12" s="189">
        <v>0.25</v>
      </c>
      <c r="H12" s="189">
        <v>0</v>
      </c>
      <c r="I12" s="189">
        <v>0</v>
      </c>
      <c r="J12" s="189">
        <v>0</v>
      </c>
      <c r="K12" s="189">
        <v>0</v>
      </c>
      <c r="L12" s="189">
        <v>0.25</v>
      </c>
      <c r="M12" s="189">
        <v>0.5</v>
      </c>
      <c r="N12" s="190">
        <v>0.75</v>
      </c>
      <c r="O12" s="339">
        <v>1</v>
      </c>
      <c r="P12" s="333"/>
      <c r="Q12" s="119"/>
    </row>
    <row r="13" spans="2:17" x14ac:dyDescent="0.25">
      <c r="B13" s="489" t="s">
        <v>409</v>
      </c>
      <c r="C13" s="475">
        <f t="shared" ref="C13:N13" si="25">C12*$O$13</f>
        <v>304.14298038001283</v>
      </c>
      <c r="D13" s="193">
        <f t="shared" si="25"/>
        <v>304.14298038001283</v>
      </c>
      <c r="E13" s="193">
        <f t="shared" si="25"/>
        <v>228.10723528500961</v>
      </c>
      <c r="F13" s="193">
        <f t="shared" si="25"/>
        <v>152.07149019000641</v>
      </c>
      <c r="G13" s="193">
        <f t="shared" si="25"/>
        <v>76.035745095003207</v>
      </c>
      <c r="H13" s="193">
        <f t="shared" si="25"/>
        <v>0</v>
      </c>
      <c r="I13" s="193">
        <f t="shared" si="25"/>
        <v>0</v>
      </c>
      <c r="J13" s="193">
        <f t="shared" si="25"/>
        <v>0</v>
      </c>
      <c r="K13" s="193">
        <f t="shared" si="25"/>
        <v>0</v>
      </c>
      <c r="L13" s="193">
        <f t="shared" si="25"/>
        <v>76.035745095003207</v>
      </c>
      <c r="M13" s="193">
        <f t="shared" si="25"/>
        <v>152.07149019000641</v>
      </c>
      <c r="N13" s="476">
        <f t="shared" si="25"/>
        <v>228.10723528500961</v>
      </c>
      <c r="O13" s="336">
        <f>'Energy Consumption'!D6/3.412/'Energy Consumption'!J4</f>
        <v>304.14298038001283</v>
      </c>
      <c r="P13" s="334">
        <f>SUM(C13:N13)</f>
        <v>1520.7149019000642</v>
      </c>
      <c r="Q13" s="118"/>
    </row>
    <row r="14" spans="2:17" x14ac:dyDescent="0.25">
      <c r="B14" s="45" t="s">
        <v>1</v>
      </c>
      <c r="C14" s="197">
        <f>C12*O14</f>
        <v>292.83006100473273</v>
      </c>
      <c r="D14" s="193">
        <f>D12*O14</f>
        <v>292.83006100473273</v>
      </c>
      <c r="E14" s="193">
        <f>E12*O14</f>
        <v>219.62254575354956</v>
      </c>
      <c r="F14" s="193">
        <f>F12*O14</f>
        <v>146.41503050236636</v>
      </c>
      <c r="G14" s="193">
        <f>G12*O14</f>
        <v>73.207515251183182</v>
      </c>
      <c r="H14" s="193">
        <f>H12*O14</f>
        <v>0</v>
      </c>
      <c r="I14" s="193">
        <f>I12*O14</f>
        <v>0</v>
      </c>
      <c r="J14" s="193">
        <f>J12*O14</f>
        <v>0</v>
      </c>
      <c r="K14" s="193">
        <f>K12*O14</f>
        <v>0</v>
      </c>
      <c r="L14" s="193">
        <f>L12*O14</f>
        <v>73.207515251183182</v>
      </c>
      <c r="M14" s="193">
        <f>M12*O14</f>
        <v>146.41503050236636</v>
      </c>
      <c r="N14" s="194">
        <f>N12*O14</f>
        <v>219.62254575354956</v>
      </c>
      <c r="O14" s="336">
        <f>('Energy Consumption'!D6/3.412/'Energy Consumption'!R3)+'Energy Consumption'!R7</f>
        <v>292.83006100473273</v>
      </c>
      <c r="P14" s="334">
        <f>SUM(C14:N14)</f>
        <v>1464.1503050236636</v>
      </c>
      <c r="Q14" s="118">
        <f>P14/$C$2</f>
        <v>1.210041574399722E-2</v>
      </c>
    </row>
    <row r="15" spans="2:17" x14ac:dyDescent="0.25">
      <c r="B15" s="328" t="s">
        <v>0</v>
      </c>
      <c r="C15" s="197">
        <f>C12*O15</f>
        <v>255.39016287096007</v>
      </c>
      <c r="D15" s="193">
        <f>D12*O15</f>
        <v>255.39016287096007</v>
      </c>
      <c r="E15" s="193">
        <f>E12*O15</f>
        <v>191.54262215322007</v>
      </c>
      <c r="F15" s="193">
        <f>F12*O15</f>
        <v>127.69508143548003</v>
      </c>
      <c r="G15" s="193">
        <f>G12*O15</f>
        <v>63.847540717740017</v>
      </c>
      <c r="H15" s="193">
        <f>H12*O15</f>
        <v>0</v>
      </c>
      <c r="I15" s="193">
        <f>I12*O15</f>
        <v>0</v>
      </c>
      <c r="J15" s="193">
        <f>J12*O15</f>
        <v>0</v>
      </c>
      <c r="K15" s="193">
        <f>K12*O15</f>
        <v>0</v>
      </c>
      <c r="L15" s="193">
        <f>L12*O15</f>
        <v>63.847540717740017</v>
      </c>
      <c r="M15" s="193">
        <f>M12*O15</f>
        <v>127.69508143548003</v>
      </c>
      <c r="N15" s="194">
        <f>N12*O15</f>
        <v>191.54262215322007</v>
      </c>
      <c r="O15" s="336">
        <f>('Energy Consumption'!D6/3.412/'Energy Consumption'!R5)+'Energy Consumption'!R7</f>
        <v>255.39016287096007</v>
      </c>
      <c r="P15" s="334">
        <f>SUM(C15:N15)</f>
        <v>1276.9508143548003</v>
      </c>
      <c r="Q15" s="118">
        <f>P15/$C$2</f>
        <v>1.0553312515328928E-2</v>
      </c>
    </row>
    <row r="16" spans="2:17" ht="15.75" thickBot="1" x14ac:dyDescent="0.3">
      <c r="B16" s="328" t="s">
        <v>2</v>
      </c>
      <c r="C16" s="197">
        <f>C12*$O$16</f>
        <v>255.39016287096007</v>
      </c>
      <c r="D16" s="197">
        <f t="shared" ref="D16:N16" si="26">D12*$O$16</f>
        <v>255.39016287096007</v>
      </c>
      <c r="E16" s="197">
        <f t="shared" si="26"/>
        <v>191.54262215322007</v>
      </c>
      <c r="F16" s="197">
        <f t="shared" si="26"/>
        <v>127.69508143548003</v>
      </c>
      <c r="G16" s="197">
        <f t="shared" si="26"/>
        <v>63.847540717740017</v>
      </c>
      <c r="H16" s="197">
        <f t="shared" si="26"/>
        <v>0</v>
      </c>
      <c r="I16" s="197">
        <f t="shared" si="26"/>
        <v>0</v>
      </c>
      <c r="J16" s="197">
        <f t="shared" si="26"/>
        <v>0</v>
      </c>
      <c r="K16" s="197">
        <f t="shared" si="26"/>
        <v>0</v>
      </c>
      <c r="L16" s="197">
        <f t="shared" si="26"/>
        <v>63.847540717740017</v>
      </c>
      <c r="M16" s="197">
        <f t="shared" si="26"/>
        <v>127.69508143548003</v>
      </c>
      <c r="N16" s="197">
        <f t="shared" si="26"/>
        <v>191.54262215322007</v>
      </c>
      <c r="O16" s="336">
        <f>O15</f>
        <v>255.39016287096007</v>
      </c>
      <c r="P16" s="334">
        <f>SUM(C16:N16)</f>
        <v>1276.9508143548003</v>
      </c>
      <c r="Q16" s="485"/>
    </row>
    <row r="17" spans="1:17" ht="15.75" customHeight="1" thickBot="1" x14ac:dyDescent="0.3">
      <c r="B17" s="114"/>
      <c r="C17" s="606" t="s">
        <v>164</v>
      </c>
      <c r="D17" s="607"/>
      <c r="E17" s="607"/>
      <c r="F17" s="607"/>
      <c r="G17" s="607"/>
      <c r="H17" s="607"/>
      <c r="I17" s="607"/>
      <c r="J17" s="607"/>
      <c r="K17" s="607"/>
      <c r="L17" s="607"/>
      <c r="M17" s="607"/>
      <c r="N17" s="607"/>
      <c r="O17" s="608"/>
      <c r="P17" s="332"/>
      <c r="Q17" s="116"/>
    </row>
    <row r="18" spans="1:17" x14ac:dyDescent="0.25">
      <c r="A18" s="490"/>
      <c r="B18" s="489" t="s">
        <v>409</v>
      </c>
      <c r="C18" s="194">
        <f t="shared" ref="C18:N18" si="27">C7+C13</f>
        <v>304.14298038001283</v>
      </c>
      <c r="D18" s="194">
        <f t="shared" si="27"/>
        <v>304.14298038001283</v>
      </c>
      <c r="E18" s="194">
        <f t="shared" si="27"/>
        <v>228.10723528500961</v>
      </c>
      <c r="F18" s="194">
        <f t="shared" si="27"/>
        <v>152.07149019000641</v>
      </c>
      <c r="G18" s="194">
        <f t="shared" si="27"/>
        <v>153.59984765910576</v>
      </c>
      <c r="H18" s="194">
        <f t="shared" si="27"/>
        <v>232.69230769230771</v>
      </c>
      <c r="I18" s="194">
        <f t="shared" si="27"/>
        <v>310.25641025641028</v>
      </c>
      <c r="J18" s="194">
        <f t="shared" si="27"/>
        <v>310.25641025641028</v>
      </c>
      <c r="K18" s="194">
        <f t="shared" si="27"/>
        <v>155.12820512820514</v>
      </c>
      <c r="L18" s="194">
        <f t="shared" si="27"/>
        <v>153.59984765910576</v>
      </c>
      <c r="M18" s="194">
        <f t="shared" si="27"/>
        <v>152.07149019000641</v>
      </c>
      <c r="N18" s="194">
        <f t="shared" si="27"/>
        <v>228.10723528500961</v>
      </c>
      <c r="O18" s="337">
        <f>O13</f>
        <v>304.14298038001283</v>
      </c>
      <c r="P18" s="334">
        <f>SUM(C18:N18)</f>
        <v>2684.1764403616025</v>
      </c>
      <c r="Q18" s="474"/>
    </row>
    <row r="19" spans="1:17" x14ac:dyDescent="0.25">
      <c r="B19" s="45" t="s">
        <v>1</v>
      </c>
      <c r="C19" s="197">
        <f t="shared" ref="C19:N19" si="28">C8+C14</f>
        <v>292.83006100473273</v>
      </c>
      <c r="D19" s="193">
        <f t="shared" si="28"/>
        <v>292.83006100473273</v>
      </c>
      <c r="E19" s="193">
        <f t="shared" si="28"/>
        <v>219.62254575354956</v>
      </c>
      <c r="F19" s="193">
        <f t="shared" si="28"/>
        <v>146.41503050236636</v>
      </c>
      <c r="G19" s="193">
        <f t="shared" si="28"/>
        <v>134.36162084613986</v>
      </c>
      <c r="H19" s="193">
        <f t="shared" si="28"/>
        <v>183.46231678487001</v>
      </c>
      <c r="I19" s="193">
        <f t="shared" si="28"/>
        <v>244.61642237982667</v>
      </c>
      <c r="J19" s="193">
        <f t="shared" si="28"/>
        <v>244.61642237982667</v>
      </c>
      <c r="K19" s="193">
        <f t="shared" si="28"/>
        <v>122.30821118991334</v>
      </c>
      <c r="L19" s="193">
        <f t="shared" si="28"/>
        <v>134.36162084613986</v>
      </c>
      <c r="M19" s="193">
        <f t="shared" si="28"/>
        <v>146.41503050236636</v>
      </c>
      <c r="N19" s="194">
        <f t="shared" si="28"/>
        <v>219.62254575354956</v>
      </c>
      <c r="O19" s="337">
        <f>$O$14</f>
        <v>292.83006100473273</v>
      </c>
      <c r="P19" s="334">
        <f>SUM(C19:N19)</f>
        <v>2381.4618889480139</v>
      </c>
      <c r="Q19" s="118">
        <f>P19/$C$2</f>
        <v>1.9681503214446394E-2</v>
      </c>
    </row>
    <row r="20" spans="1:17" ht="15.75" thickBot="1" x14ac:dyDescent="0.3">
      <c r="B20" s="77" t="s">
        <v>0</v>
      </c>
      <c r="C20" s="198">
        <f t="shared" ref="C20:N21" si="29">C9+C15</f>
        <v>255.39016287096007</v>
      </c>
      <c r="D20" s="195">
        <f t="shared" si="29"/>
        <v>255.39016287096007</v>
      </c>
      <c r="E20" s="195">
        <f t="shared" si="29"/>
        <v>191.54262215322007</v>
      </c>
      <c r="F20" s="195">
        <f t="shared" si="29"/>
        <v>127.69508143548003</v>
      </c>
      <c r="G20" s="195">
        <f t="shared" si="29"/>
        <v>112.60605923625855</v>
      </c>
      <c r="H20" s="195">
        <f t="shared" si="29"/>
        <v>146.27555555555557</v>
      </c>
      <c r="I20" s="195">
        <f t="shared" si="29"/>
        <v>195.03407407407408</v>
      </c>
      <c r="J20" s="195">
        <f t="shared" si="29"/>
        <v>195.03407407407408</v>
      </c>
      <c r="K20" s="195">
        <f t="shared" si="29"/>
        <v>97.517037037037042</v>
      </c>
      <c r="L20" s="195">
        <f t="shared" si="29"/>
        <v>112.60605923625855</v>
      </c>
      <c r="M20" s="195">
        <f t="shared" si="29"/>
        <v>127.69508143548003</v>
      </c>
      <c r="N20" s="196">
        <f t="shared" si="29"/>
        <v>191.54262215322007</v>
      </c>
      <c r="O20" s="338">
        <f>$O$15</f>
        <v>255.39016287096007</v>
      </c>
      <c r="P20" s="335">
        <f>SUM(C20:N20)</f>
        <v>2008.3285921325783</v>
      </c>
      <c r="Q20" s="120">
        <f>P20/$C$2</f>
        <v>1.6597756959773374E-2</v>
      </c>
    </row>
    <row r="21" spans="1:17" ht="15.75" thickBot="1" x14ac:dyDescent="0.3">
      <c r="B21" s="77" t="s">
        <v>2</v>
      </c>
      <c r="C21" s="198">
        <f t="shared" si="29"/>
        <v>255.39016287096007</v>
      </c>
      <c r="D21" s="195">
        <f t="shared" si="29"/>
        <v>255.39016287096007</v>
      </c>
      <c r="E21" s="195">
        <f t="shared" si="29"/>
        <v>191.54262215322007</v>
      </c>
      <c r="F21" s="195">
        <f t="shared" si="29"/>
        <v>127.69508143548003</v>
      </c>
      <c r="G21" s="195">
        <f t="shared" si="29"/>
        <v>112.60605923625855</v>
      </c>
      <c r="H21" s="195">
        <f t="shared" si="29"/>
        <v>146.27555555555557</v>
      </c>
      <c r="I21" s="195">
        <f t="shared" si="29"/>
        <v>195.03407407407408</v>
      </c>
      <c r="J21" s="195">
        <f t="shared" si="29"/>
        <v>195.03407407407408</v>
      </c>
      <c r="K21" s="195">
        <f t="shared" si="29"/>
        <v>97.517037037037042</v>
      </c>
      <c r="L21" s="195">
        <f t="shared" si="29"/>
        <v>112.60605923625855</v>
      </c>
      <c r="M21" s="195">
        <f t="shared" si="29"/>
        <v>127.69508143548003</v>
      </c>
      <c r="N21" s="196">
        <f t="shared" si="29"/>
        <v>191.54262215322007</v>
      </c>
      <c r="O21" s="338">
        <f>$O$16</f>
        <v>255.39016287096007</v>
      </c>
      <c r="P21" s="335">
        <f>SUM(C21:N21)</f>
        <v>2008.3285921325783</v>
      </c>
      <c r="Q21" s="120">
        <f>P21/$C$2</f>
        <v>1.6597756959773374E-2</v>
      </c>
    </row>
  </sheetData>
  <mergeCells count="4">
    <mergeCell ref="B4:B5"/>
    <mergeCell ref="C5:O5"/>
    <mergeCell ref="C11:O11"/>
    <mergeCell ref="C17:O17"/>
  </mergeCells>
  <pageMargins left="0.7" right="0.7" top="0.75" bottom="0.75" header="0.3" footer="0.3"/>
  <pageSetup paperSize="3" scale="8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pageSetUpPr fitToPage="1"/>
  </sheetPr>
  <dimension ref="B2:AC32"/>
  <sheetViews>
    <sheetView zoomScale="120" zoomScaleNormal="120" zoomScaleSheetLayoutView="120" workbookViewId="0">
      <selection activeCell="C13" sqref="C13"/>
    </sheetView>
  </sheetViews>
  <sheetFormatPr defaultRowHeight="15" x14ac:dyDescent="0.25"/>
  <cols>
    <col min="1" max="1" width="4.7109375" customWidth="1"/>
    <col min="2" max="2" width="47.42578125" bestFit="1" customWidth="1"/>
    <col min="3" max="3" width="25.140625" customWidth="1"/>
    <col min="4" max="4" width="16.140625" bestFit="1" customWidth="1"/>
    <col min="5" max="5" width="16.7109375" customWidth="1"/>
    <col min="6" max="6" width="15" bestFit="1" customWidth="1"/>
    <col min="7" max="7" width="6.5703125" bestFit="1" customWidth="1"/>
    <col min="8" max="8" width="11.5703125" bestFit="1" customWidth="1"/>
    <col min="9" max="9" width="27.5703125" customWidth="1"/>
    <col min="10" max="10" width="2.85546875" customWidth="1"/>
    <col min="11" max="11" width="11.140625" bestFit="1" customWidth="1"/>
    <col min="12" max="12" width="29.5703125" customWidth="1"/>
    <col min="13" max="13" width="4.42578125" customWidth="1"/>
    <col min="14" max="14" width="11.140625" bestFit="1" customWidth="1"/>
    <col min="15" max="15" width="23.85546875" bestFit="1" customWidth="1"/>
    <col min="16" max="16" width="26" customWidth="1"/>
    <col min="17" max="17" width="9.5703125" customWidth="1"/>
    <col min="18" max="18" width="12.5703125" customWidth="1"/>
  </cols>
  <sheetData>
    <row r="2" spans="2:29" ht="15.75" thickBot="1" x14ac:dyDescent="0.3"/>
    <row r="3" spans="2:29" ht="45.75" thickBot="1" x14ac:dyDescent="0.3">
      <c r="B3" s="327" t="s">
        <v>302</v>
      </c>
      <c r="C3" s="350" t="s">
        <v>409</v>
      </c>
      <c r="D3" s="74" t="s">
        <v>1</v>
      </c>
      <c r="E3" s="74" t="s">
        <v>0</v>
      </c>
      <c r="F3" s="75" t="s">
        <v>2</v>
      </c>
      <c r="H3" s="612" t="s">
        <v>217</v>
      </c>
      <c r="I3" s="613"/>
      <c r="J3" s="81"/>
      <c r="K3" s="612" t="s">
        <v>340</v>
      </c>
      <c r="L3" s="614"/>
      <c r="N3" s="612" t="s">
        <v>325</v>
      </c>
      <c r="O3" s="613"/>
      <c r="AA3" s="609" t="s">
        <v>131</v>
      </c>
      <c r="AB3" s="610"/>
      <c r="AC3" s="611"/>
    </row>
    <row r="4" spans="2:29" ht="15.75" customHeight="1" thickBot="1" x14ac:dyDescent="0.3">
      <c r="B4" s="347" t="s">
        <v>64</v>
      </c>
      <c r="C4" s="348">
        <f>Assumptions!C2</f>
        <v>268.88888888888891</v>
      </c>
      <c r="D4" s="348">
        <f>C4</f>
        <v>268.88888888888891</v>
      </c>
      <c r="E4" s="348">
        <f t="shared" ref="E4:E5" si="0">D4</f>
        <v>268.88888888888891</v>
      </c>
      <c r="F4" s="349">
        <f>C4</f>
        <v>268.88888888888891</v>
      </c>
      <c r="H4" s="422">
        <f>20*1.22</f>
        <v>24.4</v>
      </c>
      <c r="I4" s="423" t="s">
        <v>349</v>
      </c>
      <c r="J4" s="82"/>
      <c r="K4" s="223">
        <f>1.22*65000</f>
        <v>79300</v>
      </c>
      <c r="L4" s="15" t="s">
        <v>338</v>
      </c>
      <c r="N4" s="422">
        <f>1.22*20</f>
        <v>24.4</v>
      </c>
      <c r="O4" s="423" t="s">
        <v>49</v>
      </c>
      <c r="AA4" s="52"/>
      <c r="AB4" s="24" t="s">
        <v>125</v>
      </c>
      <c r="AC4" s="24" t="s">
        <v>126</v>
      </c>
    </row>
    <row r="5" spans="2:29" ht="15.75" customHeight="1" thickBot="1" x14ac:dyDescent="0.3">
      <c r="B5" s="13" t="s">
        <v>65</v>
      </c>
      <c r="C5" s="204">
        <f>Assumptions!C3*1000</f>
        <v>3025000</v>
      </c>
      <c r="D5" s="204">
        <f>C5</f>
        <v>3025000</v>
      </c>
      <c r="E5" s="204">
        <f t="shared" si="0"/>
        <v>3025000</v>
      </c>
      <c r="F5" s="205">
        <f>C5</f>
        <v>3025000</v>
      </c>
      <c r="H5" s="424">
        <f>40*1.22</f>
        <v>48.8</v>
      </c>
      <c r="I5" s="86" t="s">
        <v>350</v>
      </c>
      <c r="J5" s="82"/>
      <c r="K5" s="223">
        <f>1.22*100000</f>
        <v>122000</v>
      </c>
      <c r="L5" s="15" t="s">
        <v>339</v>
      </c>
      <c r="M5" s="83"/>
      <c r="N5" s="424">
        <f>1.22*40</f>
        <v>48.8</v>
      </c>
      <c r="O5" s="86" t="s">
        <v>50</v>
      </c>
      <c r="AA5" s="53" t="s">
        <v>127</v>
      </c>
      <c r="AB5" s="25">
        <v>40</v>
      </c>
      <c r="AC5" s="25">
        <v>90</v>
      </c>
    </row>
    <row r="6" spans="2:29" x14ac:dyDescent="0.25">
      <c r="B6" s="14" t="s">
        <v>60</v>
      </c>
      <c r="C6" s="218">
        <f>30.42</f>
        <v>30.42</v>
      </c>
      <c r="D6" s="218">
        <f>30.42</f>
        <v>30.42</v>
      </c>
      <c r="E6" s="218">
        <f>30.42</f>
        <v>30.42</v>
      </c>
      <c r="F6" s="218">
        <f>30.42</f>
        <v>30.42</v>
      </c>
      <c r="H6" s="424">
        <f>10*1.22</f>
        <v>12.2</v>
      </c>
      <c r="I6" s="86" t="s">
        <v>351</v>
      </c>
      <c r="J6" s="82"/>
      <c r="K6" s="206">
        <v>20</v>
      </c>
      <c r="L6" s="15" t="s">
        <v>348</v>
      </c>
      <c r="M6" s="83"/>
      <c r="N6" s="424">
        <f>1.22*10</f>
        <v>12.2</v>
      </c>
      <c r="O6" s="86" t="s">
        <v>51</v>
      </c>
      <c r="AA6" s="54" t="s">
        <v>128</v>
      </c>
      <c r="AB6" s="23">
        <v>60</v>
      </c>
      <c r="AC6" s="23">
        <v>300</v>
      </c>
    </row>
    <row r="7" spans="2:29" x14ac:dyDescent="0.25">
      <c r="B7" s="14" t="s">
        <v>61</v>
      </c>
      <c r="C7" s="215">
        <f>C6*Summary!$B$5</f>
        <v>3680820</v>
      </c>
      <c r="D7" s="215">
        <f>D6*Summary!B5</f>
        <v>3680820</v>
      </c>
      <c r="E7" s="215">
        <f>E6*Summary!B5</f>
        <v>3680820</v>
      </c>
      <c r="F7" s="219">
        <f>F6*Summary!B5</f>
        <v>3680820</v>
      </c>
      <c r="H7" s="425">
        <f>Summary!B8*1.22</f>
        <v>150.06</v>
      </c>
      <c r="I7" s="86" t="s">
        <v>352</v>
      </c>
      <c r="J7" s="82"/>
      <c r="K7" s="377">
        <v>40</v>
      </c>
      <c r="L7" s="15" t="s">
        <v>347</v>
      </c>
      <c r="M7" s="83"/>
      <c r="N7" s="425">
        <f>Summary!B8</f>
        <v>123</v>
      </c>
      <c r="O7" s="86" t="s">
        <v>52</v>
      </c>
      <c r="AA7" s="54" t="s">
        <v>129</v>
      </c>
      <c r="AB7" s="23">
        <v>45</v>
      </c>
      <c r="AC7" s="23">
        <v>110</v>
      </c>
    </row>
    <row r="8" spans="2:29" x14ac:dyDescent="0.25">
      <c r="B8" s="14" t="s">
        <v>66</v>
      </c>
      <c r="C8" s="221">
        <v>0</v>
      </c>
      <c r="D8" s="215">
        <f>H12*D4</f>
        <v>1446334.8337777779</v>
      </c>
      <c r="E8" s="215">
        <f>K10*E4</f>
        <v>697094.4444444445</v>
      </c>
      <c r="F8" s="222">
        <f>(F4*N15)</f>
        <v>491082.53333333344</v>
      </c>
      <c r="H8" s="460">
        <f>500*1.22</f>
        <v>610</v>
      </c>
      <c r="I8" s="86" t="s">
        <v>353</v>
      </c>
      <c r="J8" s="82"/>
      <c r="K8" s="223">
        <f>1.22*20000</f>
        <v>24400</v>
      </c>
      <c r="L8" s="15" t="s">
        <v>341</v>
      </c>
      <c r="M8" s="83"/>
      <c r="N8" s="426">
        <v>500</v>
      </c>
      <c r="O8" s="86" t="s">
        <v>53</v>
      </c>
      <c r="AA8" s="55" t="s">
        <v>130</v>
      </c>
      <c r="AB8" s="27">
        <v>8</v>
      </c>
      <c r="AC8" s="27">
        <v>12</v>
      </c>
    </row>
    <row r="9" spans="2:29" x14ac:dyDescent="0.25">
      <c r="B9" s="14" t="s">
        <v>68</v>
      </c>
      <c r="C9" s="203">
        <v>0</v>
      </c>
      <c r="D9" s="203">
        <f>D4/H11</f>
        <v>107.55555555555557</v>
      </c>
      <c r="E9" s="203">
        <f>E4/K7</f>
        <v>6.7222222222222232</v>
      </c>
      <c r="F9" s="421">
        <f>F4/N12</f>
        <v>13.444444444444446</v>
      </c>
      <c r="H9" s="427">
        <f>((H4+H6*500)+H5*H7)</f>
        <v>13447.328</v>
      </c>
      <c r="I9" s="86" t="s">
        <v>354</v>
      </c>
      <c r="J9" s="82"/>
      <c r="K9" s="223">
        <f>1.22*40000</f>
        <v>48800</v>
      </c>
      <c r="L9" s="15" t="s">
        <v>344</v>
      </c>
      <c r="M9" s="83"/>
      <c r="N9" s="427">
        <f>(N4+N6*500)+N5*N7</f>
        <v>12126.8</v>
      </c>
      <c r="O9" s="86" t="s">
        <v>354</v>
      </c>
      <c r="AA9" s="35"/>
      <c r="AB9" s="1"/>
      <c r="AC9" s="1"/>
    </row>
    <row r="10" spans="2:29" x14ac:dyDescent="0.25">
      <c r="B10" s="14" t="s">
        <v>69</v>
      </c>
      <c r="C10" s="221">
        <f t="shared" ref="C10:F10" si="1">C7+C8</f>
        <v>3680820</v>
      </c>
      <c r="D10" s="221">
        <f t="shared" si="1"/>
        <v>5127154.8337777779</v>
      </c>
      <c r="E10" s="221">
        <f t="shared" si="1"/>
        <v>4377914.444444444</v>
      </c>
      <c r="F10" s="222">
        <f t="shared" si="1"/>
        <v>4171902.5333333332</v>
      </c>
      <c r="H10" s="427">
        <f>((H4+H5+H6)*500)</f>
        <v>42699.999999999993</v>
      </c>
      <c r="I10" s="86" t="s">
        <v>355</v>
      </c>
      <c r="J10" s="82"/>
      <c r="K10" s="224">
        <f>(K4+K8)/K7</f>
        <v>2592.5</v>
      </c>
      <c r="L10" s="434" t="s">
        <v>182</v>
      </c>
      <c r="M10" s="83"/>
      <c r="N10" s="427">
        <f>(N4+N5+N6)*500</f>
        <v>42699.999999999993</v>
      </c>
      <c r="O10" s="86" t="s">
        <v>355</v>
      </c>
      <c r="AA10" s="56" t="s">
        <v>136</v>
      </c>
      <c r="AB10" s="28">
        <v>40</v>
      </c>
      <c r="AC10" s="29">
        <v>500</v>
      </c>
    </row>
    <row r="11" spans="2:29" ht="15.75" thickBot="1" x14ac:dyDescent="0.3">
      <c r="B11" s="13" t="s">
        <v>70</v>
      </c>
      <c r="C11" s="487">
        <f>C10/Summary!$B$5</f>
        <v>30.42</v>
      </c>
      <c r="D11" s="487">
        <f>D10/Summary!$B$5</f>
        <v>42.373180444444444</v>
      </c>
      <c r="E11" s="487">
        <f>E10/Summary!$B$5</f>
        <v>36.181111111111107</v>
      </c>
      <c r="F11" s="488">
        <f>F10/Summary!$B$5</f>
        <v>34.478533333333331</v>
      </c>
      <c r="H11" s="426">
        <v>2.5</v>
      </c>
      <c r="I11" s="86" t="s">
        <v>54</v>
      </c>
      <c r="J11" s="82"/>
      <c r="K11" s="225">
        <f>(K5+K9)/K6</f>
        <v>8540</v>
      </c>
      <c r="L11" s="435" t="s">
        <v>183</v>
      </c>
      <c r="M11" s="84"/>
      <c r="N11" s="426">
        <v>5</v>
      </c>
      <c r="O11" s="86" t="s">
        <v>348</v>
      </c>
      <c r="AA11" s="56" t="s">
        <v>135</v>
      </c>
      <c r="AB11" s="29">
        <v>500</v>
      </c>
      <c r="AC11" s="29">
        <v>500</v>
      </c>
    </row>
    <row r="12" spans="2:29" x14ac:dyDescent="0.25">
      <c r="B12" s="14" t="s">
        <v>62</v>
      </c>
      <c r="C12" s="375">
        <v>61</v>
      </c>
      <c r="D12" s="375">
        <f>60.83</f>
        <v>60.83</v>
      </c>
      <c r="E12" s="375">
        <f>D12</f>
        <v>60.83</v>
      </c>
      <c r="F12" s="376">
        <f>D12</f>
        <v>60.83</v>
      </c>
      <c r="H12" s="428">
        <f>H9/H11</f>
        <v>5378.9312</v>
      </c>
      <c r="I12" s="86" t="s">
        <v>182</v>
      </c>
      <c r="J12" s="82"/>
      <c r="M12" s="84"/>
      <c r="N12" s="426">
        <v>20</v>
      </c>
      <c r="O12" s="86" t="s">
        <v>347</v>
      </c>
      <c r="AA12" s="35"/>
      <c r="AB12" s="19"/>
      <c r="AC12" s="19"/>
    </row>
    <row r="13" spans="2:29" ht="15.75" thickBot="1" x14ac:dyDescent="0.3">
      <c r="B13" s="14" t="s">
        <v>63</v>
      </c>
      <c r="C13" s="215">
        <f>C12*Summary!$B$5</f>
        <v>7381000</v>
      </c>
      <c r="D13" s="215">
        <f>D12*Summary!B5</f>
        <v>7360430</v>
      </c>
      <c r="E13" s="215">
        <f>E12*Summary!B5</f>
        <v>7360430</v>
      </c>
      <c r="F13" s="219">
        <f>F12*Summary!B5</f>
        <v>7360430</v>
      </c>
      <c r="H13" s="429">
        <f>H10/H11</f>
        <v>17079.999999999996</v>
      </c>
      <c r="I13" s="430" t="s">
        <v>183</v>
      </c>
      <c r="J13" s="82"/>
      <c r="K13" s="419"/>
      <c r="M13" s="84"/>
      <c r="N13" s="223">
        <f>1.22*20000</f>
        <v>24400</v>
      </c>
      <c r="O13" s="86" t="s">
        <v>342</v>
      </c>
      <c r="AA13" s="56" t="s">
        <v>132</v>
      </c>
      <c r="AB13" s="19">
        <v>2.5</v>
      </c>
      <c r="AC13" s="19">
        <v>2.5</v>
      </c>
    </row>
    <row r="14" spans="2:29" ht="15" customHeight="1" x14ac:dyDescent="0.25">
      <c r="B14" s="14" t="s">
        <v>67</v>
      </c>
      <c r="C14" s="221">
        <v>0</v>
      </c>
      <c r="D14" s="215">
        <f>D4*H13</f>
        <v>4592622.222222222</v>
      </c>
      <c r="E14" s="221">
        <f>E4*K11</f>
        <v>2296311.1111111115</v>
      </c>
      <c r="F14" s="222">
        <f>($F$4*N16)</f>
        <v>4920666.666666667</v>
      </c>
      <c r="H14" s="615" t="s">
        <v>187</v>
      </c>
      <c r="I14" s="616"/>
      <c r="J14" s="82"/>
      <c r="M14" s="84"/>
      <c r="N14" s="223">
        <f>1.22*40000</f>
        <v>48800</v>
      </c>
      <c r="O14" s="86" t="s">
        <v>343</v>
      </c>
      <c r="AA14" s="35"/>
      <c r="AB14" s="1"/>
      <c r="AC14" s="1"/>
    </row>
    <row r="15" spans="2:29" x14ac:dyDescent="0.25">
      <c r="B15" s="14" t="s">
        <v>68</v>
      </c>
      <c r="C15" s="203">
        <v>0</v>
      </c>
      <c r="D15" s="203">
        <f>D4/H11</f>
        <v>107.55555555555557</v>
      </c>
      <c r="E15" s="203">
        <f>E4/K6</f>
        <v>13.444444444444446</v>
      </c>
      <c r="F15" s="421">
        <f>F4/N11</f>
        <v>53.777777777777786</v>
      </c>
      <c r="H15" s="615"/>
      <c r="I15" s="616"/>
      <c r="J15" s="82"/>
      <c r="K15" s="82"/>
      <c r="M15" s="84"/>
      <c r="N15" s="428">
        <f>(N9+N13)/N12</f>
        <v>1826.3400000000001</v>
      </c>
      <c r="O15" s="86" t="s">
        <v>182</v>
      </c>
      <c r="AA15" s="56" t="s">
        <v>134</v>
      </c>
      <c r="AB15" s="18">
        <f>((AB5+AB7+AB8)*AB11)+(AB6*AB10)</f>
        <v>48900</v>
      </c>
      <c r="AC15" s="18">
        <f>((AC5+AC7+AC8)*AC11)+(AC6*AC10)</f>
        <v>256000</v>
      </c>
    </row>
    <row r="16" spans="2:29" ht="15.75" thickBot="1" x14ac:dyDescent="0.3">
      <c r="B16" s="14" t="s">
        <v>71</v>
      </c>
      <c r="C16" s="221">
        <f t="shared" ref="C16:F16" si="2">C13+C14</f>
        <v>7381000</v>
      </c>
      <c r="D16" s="221">
        <f t="shared" si="2"/>
        <v>11953052.222222222</v>
      </c>
      <c r="E16" s="221">
        <f t="shared" si="2"/>
        <v>9656741.1111111119</v>
      </c>
      <c r="F16" s="222">
        <f t="shared" si="2"/>
        <v>12281096.666666668</v>
      </c>
      <c r="H16" s="615"/>
      <c r="I16" s="616"/>
      <c r="J16" s="82"/>
      <c r="K16" s="82"/>
      <c r="M16" s="84"/>
      <c r="N16" s="429">
        <f>(N10+N14)/N11</f>
        <v>18300</v>
      </c>
      <c r="O16" s="430" t="s">
        <v>183</v>
      </c>
      <c r="AA16" s="35"/>
      <c r="AB16" s="1"/>
      <c r="AC16" s="1"/>
    </row>
    <row r="17" spans="2:29" ht="15.75" thickBot="1" x14ac:dyDescent="0.3">
      <c r="B17" s="13" t="s">
        <v>72</v>
      </c>
      <c r="C17" s="487">
        <f>C16/Summary!$B$5</f>
        <v>61</v>
      </c>
      <c r="D17" s="487">
        <f>D16/Summary!$B$5</f>
        <v>98.785555555555547</v>
      </c>
      <c r="E17" s="487">
        <f>E16/Summary!$B$5</f>
        <v>79.807777777777787</v>
      </c>
      <c r="F17" s="488">
        <f>F16/Summary!$B$5</f>
        <v>101.49666666666668</v>
      </c>
      <c r="H17" s="615"/>
      <c r="I17" s="616"/>
      <c r="J17" s="82"/>
      <c r="K17" s="82"/>
      <c r="M17" s="84"/>
      <c r="AA17" s="35" t="s">
        <v>133</v>
      </c>
      <c r="AB17" s="18">
        <f>AB15/AB13</f>
        <v>19560</v>
      </c>
      <c r="AC17" s="18">
        <f>AC15/AC13</f>
        <v>102400</v>
      </c>
    </row>
    <row r="18" spans="2:29" ht="12.4" customHeight="1" thickBot="1" x14ac:dyDescent="0.3">
      <c r="H18" s="617"/>
      <c r="I18" s="618"/>
      <c r="J18" s="85"/>
      <c r="K18" s="82"/>
      <c r="O18" s="82"/>
    </row>
    <row r="19" spans="2:29" x14ac:dyDescent="0.25">
      <c r="K19" s="85"/>
      <c r="Q19" s="22"/>
    </row>
    <row r="20" spans="2:29" x14ac:dyDescent="0.25">
      <c r="I20" s="82"/>
      <c r="Q20" s="22"/>
    </row>
    <row r="21" spans="2:29" x14ac:dyDescent="0.25">
      <c r="D21" s="441"/>
      <c r="Q21" s="22"/>
    </row>
    <row r="22" spans="2:29" x14ac:dyDescent="0.25">
      <c r="E22" s="3"/>
      <c r="F22" s="480"/>
      <c r="G22" s="480"/>
      <c r="Q22" s="22"/>
    </row>
    <row r="23" spans="2:29" x14ac:dyDescent="0.25">
      <c r="F23" s="450"/>
      <c r="P23" s="26"/>
    </row>
    <row r="24" spans="2:29" x14ac:dyDescent="0.25">
      <c r="F24" s="441"/>
      <c r="G24" s="441"/>
      <c r="H24" s="441"/>
      <c r="P24" s="26"/>
    </row>
    <row r="25" spans="2:29" x14ac:dyDescent="0.25">
      <c r="P25" s="26"/>
    </row>
    <row r="26" spans="2:29" x14ac:dyDescent="0.25">
      <c r="F26" s="458"/>
      <c r="J26" s="26"/>
    </row>
    <row r="27" spans="2:29" x14ac:dyDescent="0.25">
      <c r="F27" s="459"/>
      <c r="K27" s="26"/>
      <c r="L27" s="26"/>
    </row>
    <row r="28" spans="2:29" x14ac:dyDescent="0.25">
      <c r="F28" s="458"/>
    </row>
    <row r="29" spans="2:29" x14ac:dyDescent="0.25">
      <c r="F29" s="459"/>
    </row>
    <row r="30" spans="2:29" x14ac:dyDescent="0.25">
      <c r="F30" s="458"/>
      <c r="J30" s="26"/>
    </row>
    <row r="31" spans="2:29" x14ac:dyDescent="0.25">
      <c r="F31" s="459"/>
      <c r="J31" s="26"/>
      <c r="K31" s="26"/>
      <c r="L31" s="26"/>
    </row>
    <row r="32" spans="2:29" x14ac:dyDescent="0.25">
      <c r="K32" s="26"/>
      <c r="L32" s="26"/>
    </row>
  </sheetData>
  <mergeCells count="5">
    <mergeCell ref="AA3:AC3"/>
    <mergeCell ref="H3:I3"/>
    <mergeCell ref="N3:O3"/>
    <mergeCell ref="K3:L3"/>
    <mergeCell ref="H14:I18"/>
  </mergeCells>
  <pageMargins left="0.7" right="0.7" top="0.75" bottom="0.75" header="0.3" footer="0.3"/>
  <pageSetup paperSize="3" scale="77" fitToHeight="0" orientation="landscape" r:id="rId1"/>
  <colBreaks count="1" manualBreakCount="1">
    <brk id="15" max="31"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pageSetUpPr fitToPage="1"/>
  </sheetPr>
  <dimension ref="B2:F9"/>
  <sheetViews>
    <sheetView view="pageBreakPreview" zoomScaleNormal="100" zoomScaleSheetLayoutView="100" workbookViewId="0">
      <selection activeCell="A15" sqref="A15"/>
    </sheetView>
  </sheetViews>
  <sheetFormatPr defaultRowHeight="15" x14ac:dyDescent="0.25"/>
  <cols>
    <col min="1" max="1" width="4" customWidth="1"/>
    <col min="2" max="2" width="62.42578125" customWidth="1"/>
    <col min="3" max="3" width="15.140625" customWidth="1"/>
    <col min="4" max="4" width="15" customWidth="1"/>
    <col min="5" max="5" width="16.42578125" customWidth="1"/>
    <col min="6" max="6" width="16.7109375" customWidth="1"/>
    <col min="7" max="7" width="4.42578125" customWidth="1"/>
  </cols>
  <sheetData>
    <row r="2" spans="2:6" ht="15.75" thickBot="1" x14ac:dyDescent="0.3"/>
    <row r="3" spans="2:6" ht="30" x14ac:dyDescent="0.25">
      <c r="B3" s="619" t="s">
        <v>302</v>
      </c>
      <c r="C3" s="409" t="s">
        <v>412</v>
      </c>
      <c r="D3" s="79" t="s">
        <v>1</v>
      </c>
      <c r="E3" s="79" t="s">
        <v>0</v>
      </c>
      <c r="F3" s="80" t="s">
        <v>2</v>
      </c>
    </row>
    <row r="4" spans="2:6" ht="60.75" thickBot="1" x14ac:dyDescent="0.3">
      <c r="B4" s="620"/>
      <c r="C4" s="407" t="s">
        <v>411</v>
      </c>
      <c r="D4" s="407" t="s">
        <v>192</v>
      </c>
      <c r="E4" s="249" t="s">
        <v>234</v>
      </c>
      <c r="F4" s="408" t="s">
        <v>206</v>
      </c>
    </row>
    <row r="5" spans="2:6" x14ac:dyDescent="0.25">
      <c r="B5" s="404" t="s">
        <v>369</v>
      </c>
      <c r="C5" s="405">
        <f>'Energy Consumption'!D4</f>
        <v>268.88888888888891</v>
      </c>
      <c r="D5" s="405">
        <f>C5</f>
        <v>268.88888888888891</v>
      </c>
      <c r="E5" s="405">
        <f>D5</f>
        <v>268.88888888888891</v>
      </c>
      <c r="F5" s="406">
        <f>C5</f>
        <v>268.88888888888891</v>
      </c>
    </row>
    <row r="6" spans="2:6" hidden="1" x14ac:dyDescent="0.25">
      <c r="B6" s="14" t="s">
        <v>159</v>
      </c>
      <c r="C6" s="400"/>
      <c r="D6" s="400">
        <v>0</v>
      </c>
      <c r="E6" s="400">
        <v>0</v>
      </c>
      <c r="F6" s="402">
        <v>0</v>
      </c>
    </row>
    <row r="7" spans="2:6" x14ac:dyDescent="0.25">
      <c r="B7" s="14" t="s">
        <v>160</v>
      </c>
      <c r="C7" s="401">
        <v>3000</v>
      </c>
      <c r="D7" s="401">
        <f>1000*1.22</f>
        <v>1220</v>
      </c>
      <c r="E7" s="401">
        <f>20000*1.22</f>
        <v>24400</v>
      </c>
      <c r="F7" s="403">
        <f>20000*1.22</f>
        <v>24400</v>
      </c>
    </row>
    <row r="8" spans="2:6" hidden="1" x14ac:dyDescent="0.25">
      <c r="B8" s="14" t="s">
        <v>161</v>
      </c>
      <c r="C8" s="401"/>
      <c r="D8" s="401">
        <v>0</v>
      </c>
      <c r="E8" s="401">
        <v>0</v>
      </c>
      <c r="F8" s="403">
        <v>0</v>
      </c>
    </row>
    <row r="9" spans="2:6" ht="15.75" thickBot="1" x14ac:dyDescent="0.3">
      <c r="B9" s="13" t="s">
        <v>162</v>
      </c>
      <c r="C9" s="226">
        <v>5000</v>
      </c>
      <c r="D9" s="226">
        <f>1500*1.22</f>
        <v>1830</v>
      </c>
      <c r="E9" s="226">
        <f>40000*1.22</f>
        <v>48800</v>
      </c>
      <c r="F9" s="227">
        <f>40000*1.22</f>
        <v>48800</v>
      </c>
    </row>
  </sheetData>
  <mergeCells count="1">
    <mergeCell ref="B3:B4"/>
  </mergeCells>
  <pageMargins left="0.7" right="0.7" top="0.75" bottom="0.75" header="0.3" footer="0.3"/>
  <pageSetup scale="91" fitToHeight="0" orientation="landscape" r:id="rId1"/>
  <colBreaks count="1" manualBreakCount="1">
    <brk id="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17</vt:i4>
      </vt:variant>
      <vt:variant>
        <vt:lpstr>Charts</vt:lpstr>
      </vt:variant>
      <vt:variant>
        <vt:i4>6</vt:i4>
      </vt:variant>
      <vt:variant>
        <vt:lpstr>Named Ranges</vt:lpstr>
      </vt:variant>
      <vt:variant>
        <vt:i4>15</vt:i4>
      </vt:variant>
    </vt:vector>
  </HeadingPairs>
  <TitlesOfParts>
    <vt:vector size="38" baseType="lpstr">
      <vt:lpstr>Instructions</vt:lpstr>
      <vt:lpstr>Summary</vt:lpstr>
      <vt:lpstr>Assumptions</vt:lpstr>
      <vt:lpstr>Baseline Systems</vt:lpstr>
      <vt:lpstr>Energy Cost</vt:lpstr>
      <vt:lpstr>Energy Consumption</vt:lpstr>
      <vt:lpstr>Energy Demand</vt:lpstr>
      <vt:lpstr>Capital Cost</vt:lpstr>
      <vt:lpstr>Annual Maintenance Cost</vt:lpstr>
      <vt:lpstr>Carbon Cost</vt:lpstr>
      <vt:lpstr>System Life Expectancy</vt:lpstr>
      <vt:lpstr>NPV (Low)</vt:lpstr>
      <vt:lpstr>NPV (High)</vt:lpstr>
      <vt:lpstr>NPV (Low) Renewable</vt:lpstr>
      <vt:lpstr>NPV (High) Renewable</vt:lpstr>
      <vt:lpstr>PV</vt:lpstr>
      <vt:lpstr>Chiller Efficiencies</vt:lpstr>
      <vt:lpstr>Cooling Energy Consump. Chart</vt:lpstr>
      <vt:lpstr>Heating Energy Consump. Chart</vt:lpstr>
      <vt:lpstr>Energy Demand Chart</vt:lpstr>
      <vt:lpstr>Energy Cost Chart</vt:lpstr>
      <vt:lpstr>Cooling Energy Consumption</vt:lpstr>
      <vt:lpstr>Heating Energy Consumption</vt:lpstr>
      <vt:lpstr>'Annual Maintenance Cost'!Print_Area</vt:lpstr>
      <vt:lpstr>Assumptions!Print_Area</vt:lpstr>
      <vt:lpstr>'Baseline Systems'!Print_Area</vt:lpstr>
      <vt:lpstr>'Capital Cost'!Print_Area</vt:lpstr>
      <vt:lpstr>'Carbon Cost'!Print_Area</vt:lpstr>
      <vt:lpstr>'Energy Consumption'!Print_Area</vt:lpstr>
      <vt:lpstr>'Energy Cost'!Print_Area</vt:lpstr>
      <vt:lpstr>'Energy Demand'!Print_Area</vt:lpstr>
      <vt:lpstr>Instructions!Print_Area</vt:lpstr>
      <vt:lpstr>'NPV (High)'!Print_Area</vt:lpstr>
      <vt:lpstr>'NPV (High) Renewable'!Print_Area</vt:lpstr>
      <vt:lpstr>'NPV (Low)'!Print_Area</vt:lpstr>
      <vt:lpstr>'NPV (Low) Renewable'!Print_Area</vt:lpstr>
      <vt:lpstr>Summary!Print_Area</vt:lpstr>
      <vt:lpstr>'System Life Expectancy'!Print_Area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Canosa</dc:creator>
  <cp:lastModifiedBy>Aidan Cunningham</cp:lastModifiedBy>
  <cp:lastPrinted>2019-03-15T15:42:27Z</cp:lastPrinted>
  <dcterms:created xsi:type="dcterms:W3CDTF">2018-08-10T12:43:22Z</dcterms:created>
  <dcterms:modified xsi:type="dcterms:W3CDTF">2023-03-16T17:49:46Z</dcterms:modified>
</cp:coreProperties>
</file>