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I:\Engineering Central\000 NYC SCA Green Guidelines\Report Template\2022-12\"/>
    </mc:Choice>
  </mc:AlternateContent>
  <xr:revisionPtr revIDLastSave="0" documentId="13_ncr:1_{1D9A57EC-E009-4302-B9A9-BB9387679248}" xr6:coauthVersionLast="47" xr6:coauthVersionMax="47" xr10:uidLastSave="{00000000-0000-0000-0000-000000000000}"/>
  <bookViews>
    <workbookView xWindow="-120" yWindow="-120" windowWidth="38640" windowHeight="21390" tabRatio="824" firstSheet="14" activeTab="16" xr2:uid="{00000000-000D-0000-FFFF-FFFF00000000}"/>
  </bookViews>
  <sheets>
    <sheet name="Schedules - Assembly" sheetId="32" state="hidden" r:id="rId1"/>
    <sheet name="Schedules - Office" sheetId="33" state="hidden" r:id="rId2"/>
    <sheet name="Schedules - Retail" sheetId="34" state="hidden" r:id="rId3"/>
    <sheet name="Schedules - Dwelling Unit" sheetId="36" state="hidden" r:id="rId4"/>
    <sheet name="SCA Instructions" sheetId="39" state="hidden" r:id="rId5"/>
    <sheet name="Lists" sheetId="14" state="hidden" r:id="rId6"/>
    <sheet name="GSG LPD" sheetId="42" state="hidden" r:id="rId7"/>
    <sheet name="Lighting Lookup" sheetId="17" state="hidden" r:id="rId8"/>
    <sheet name="Lighting Zones" sheetId="21" state="hidden" r:id="rId9"/>
    <sheet name="Raw Data" sheetId="22" state="hidden" r:id="rId10"/>
    <sheet name="GSG Avg Rotations" sheetId="43" r:id="rId11"/>
    <sheet name="SCA Exec Summary" sheetId="49" r:id="rId12"/>
    <sheet name="SCA ECM Summary" sheetId="55" r:id="rId13"/>
    <sheet name="SCA Usage Summary" sheetId="44" r:id="rId14"/>
    <sheet name="SCA Window Summary" sheetId="45" r:id="rId15"/>
    <sheet name="SCA Wall Summary" sheetId="46" r:id="rId16"/>
    <sheet name="SCA Wall Summary (2)" sheetId="59" r:id="rId17"/>
    <sheet name="SCA Interior Lighting Summary" sheetId="47" r:id="rId18"/>
    <sheet name="SCA Ext LPD Process Equ" sheetId="56" r:id="rId19"/>
    <sheet name="SCA Service HW" sheetId="58" r:id="rId20"/>
    <sheet name="SCA HVAC Air Class" sheetId="51" r:id="rId21"/>
    <sheet name="SCA HW Summary" sheetId="48" r:id="rId22"/>
    <sheet name="SCA CHW Summary" sheetId="52" r:id="rId23"/>
    <sheet name="General Checklist" sheetId="53" r:id="rId24"/>
    <sheet name="Output Checklist" sheetId="54" r:id="rId25"/>
    <sheet name="GSG_List" sheetId="41" state="hidden" r:id="rId26"/>
    <sheet name="Instructions" sheetId="31" r:id="rId27"/>
    <sheet name="1,2,3 Information" sheetId="38" r:id="rId28"/>
    <sheet name="4. Purchased Energy Rates" sheetId="10" r:id="rId29"/>
    <sheet name="4a. Avg. Rotations" sheetId="37" state="hidden" r:id="rId30"/>
    <sheet name="5. Usage Summary" sheetId="11" r:id="rId31"/>
    <sheet name="6a. Ext. Wall Areas" sheetId="12" r:id="rId32"/>
    <sheet name="6b. Fenestration" sheetId="13" r:id="rId33"/>
    <sheet name="6c. Wall Types" sheetId="15" r:id="rId34"/>
    <sheet name="6d. Interior LPD-Space Method" sheetId="16" r:id="rId35"/>
    <sheet name="6d. Interior LPD-Bldg  Method" sheetId="18" r:id="rId36"/>
    <sheet name="6e. Ext LPD 6f. Process Equip." sheetId="23" r:id="rId37"/>
    <sheet name="Ext LPD Calculator" sheetId="19" r:id="rId38"/>
    <sheet name="6g. Service HW" sheetId="24" r:id="rId39"/>
    <sheet name="6i. HVAC Air-Side " sheetId="25" r:id="rId40"/>
    <sheet name="6i. HVAC Air-Side  (2)" sheetId="50" r:id="rId41"/>
    <sheet name="6j. HVAC Water-side CHW  " sheetId="26" r:id="rId42"/>
    <sheet name="6j. HVAC Water-side CW&amp;CT" sheetId="27" r:id="rId43"/>
    <sheet name="6l. HVAC Water-side HW&amp;Steam" sheetId="28" r:id="rId44"/>
    <sheet name="6m. HVAC- Geothermal" sheetId="29" r:id="rId45"/>
    <sheet name="6n. CHP" sheetId="30"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AshraeCZ" localSheetId="19">'[1]Envelope Lookup'!$A$2:$A$19</definedName>
    <definedName name="AshraeCZ">'[2]Envelope Lookup'!$A$2:$A$19</definedName>
    <definedName name="AshraeCZ_SCA">'[2]Envelope Lookup'!$A$2:$A$19</definedName>
    <definedName name="ASHRAECZ_SCA2">'[2]Envelope Lookup'!$A$2:$A$19</definedName>
    <definedName name="BAMCategories">'Lighting Lookup'!$A$2:$A$33</definedName>
    <definedName name="BaselineHVACModeled" localSheetId="6">'[3]General HVAC'!$C$30:$C$32</definedName>
    <definedName name="BaselineHVACModeled" localSheetId="7">'[4]General HVAC'!$C$30:$C$32</definedName>
    <definedName name="BaselineHVACModeled" localSheetId="19">'[5]6 - General HVAC'!$C$28:$C$31</definedName>
    <definedName name="BaselineHVACModeled">'[6]6 - General HVAC'!$C$28:$C$31</definedName>
    <definedName name="BaselineHVACModeled_SCA">'[6]6 - General HVAC'!$C$28:$C$31</definedName>
    <definedName name="BaselineHVACModeled_SCA2">'[6]6 - General HVAC'!$C$28:$C$31</definedName>
    <definedName name="BaselineHVACSystems" localSheetId="19">'[1]HVAC Lookup'!$A$10:$A$19</definedName>
    <definedName name="BaselineHVACSystems">'[7]HVAC Lookup'!$A$10:$A$19</definedName>
    <definedName name="BaselineSecondarySystems" localSheetId="19">'[1]HVAC Lookup'!$A$10:$A$29</definedName>
    <definedName name="BaselineSecondarySystems">'[7]HVAC Lookup'!$A$10:$A$29</definedName>
    <definedName name="BSA" localSheetId="9">'[8]Lighting Zones'!$D$2:$D$6</definedName>
    <definedName name="BSA">'Lighting Zones'!$D$2:$D$6</definedName>
    <definedName name="cfm">'[9]HVAC Air-side'!$C$18</definedName>
    <definedName name="Doors" localSheetId="22">GSG_List!$A$38:$A$39</definedName>
    <definedName name="Doors" localSheetId="20">GSG_List!$A$38:$A$39</definedName>
    <definedName name="Doors" localSheetId="19">[10]Lists!$A$43:$A$44</definedName>
    <definedName name="Doors">Lists!$A$43:$A$44</definedName>
    <definedName name="Env_Type" localSheetId="22">GSG_List!$A$1:$A$3</definedName>
    <definedName name="Env_Type" localSheetId="20">GSG_List!$A$1:$A$3</definedName>
    <definedName name="Env_Type" localSheetId="19">[10]Lists!$A$1:$A$3</definedName>
    <definedName name="Env_Type">Lists!$A$1:$A$3</definedName>
    <definedName name="Fanslookup" localSheetId="7">'[4]HVAC Lookup'!$A$10:$K$29</definedName>
    <definedName name="Fanslookup" localSheetId="19">'[5]HVAC Lookup'!$A$10:$K$29</definedName>
    <definedName name="Fanslookup">'[11]HVAC Lookup'!$A$10:$K$29</definedName>
    <definedName name="Fenestration" localSheetId="22">GSG_List!$A$5:$A$8</definedName>
    <definedName name="Fenestration" localSheetId="20">GSG_List!$A$5:$A$8</definedName>
    <definedName name="Fenestration" localSheetId="19">[10]Lists!$A$5:$A$8</definedName>
    <definedName name="Fenestration">Lists!$A$5:$A$8</definedName>
    <definedName name="Floor" localSheetId="22">GSG_List!$A$31:$A$33</definedName>
    <definedName name="Floor" localSheetId="20">GSG_List!$A$31:$A$33</definedName>
    <definedName name="Floor" localSheetId="19">[10]Lists!$A$36:$A$38</definedName>
    <definedName name="Floor">Lists!$A$36:$A$38</definedName>
    <definedName name="Footcandles" localSheetId="19">'[12]Drop Down'!$Y$2:$Y$16</definedName>
    <definedName name="Footcandles">'[13]Drop Down'!$Y$2:$Y$16</definedName>
    <definedName name="Footcandles_SCA">'[13]Drop Down'!$Y$2:$Y$16</definedName>
    <definedName name="Footcandles_SCA2">'[13]Drop Down'!$Y$2:$Y$16</definedName>
    <definedName name="FramingType" localSheetId="7">'[4]Envelope Lookup'!$X$1:$AA$1</definedName>
    <definedName name="FramingType" localSheetId="19">'[5]Envelope Lookup'!$X$1:$AA$1</definedName>
    <definedName name="FramingType">'[14]Envelope Lookup'!$X$1:$AA$1</definedName>
    <definedName name="FramingType_SCA">'[14]Envelope Lookup'!$X$1:$AA$1</definedName>
    <definedName name="FramingType_SCA2">'[14]Envelope Lookup'!$X$1:$AA$1</definedName>
    <definedName name="GSG_BAMCategories" localSheetId="40">'GSG LPD'!#REF!</definedName>
    <definedName name="GSG_BAMCategories" localSheetId="19">'[9]GSG LPD'!#REF!</definedName>
    <definedName name="GSG_BAMCategories">'GSG LPD'!#REF!</definedName>
    <definedName name="GSG_Doors" localSheetId="19">[9]GSG_List!$A$38:$A$39</definedName>
    <definedName name="GSG_Doors">GSG_List!$A$38:$A$39</definedName>
    <definedName name="GSG_Env_Type">GSG_List!$A$1:$A$3</definedName>
    <definedName name="GSG_Fenestration" localSheetId="19">[9]GSG_List!$A$5:$A$8</definedName>
    <definedName name="GSG_Fenestration">GSG_List!$A$5:$A$8</definedName>
    <definedName name="GSG_Floor" localSheetId="19">[9]GSG_List!$A$31:$A$33</definedName>
    <definedName name="GSG_Floor">GSG_List!$A$31:$A$33</definedName>
    <definedName name="GSG_HVAC">GSG_List!$A$43:$A$66</definedName>
    <definedName name="GSG_Ltg_Space">'GSG LPD'!$A$2:$A$107</definedName>
    <definedName name="GSG_Roof_Type" localSheetId="19">[9]GSG_List!$A$25:$A$25</definedName>
    <definedName name="GSG_Roof_Type">GSG_List!$A$25:$A$25</definedName>
    <definedName name="GSG_Slab" localSheetId="19">[9]GSG_List!$A$35:$A$36</definedName>
    <definedName name="GSG_Slab">GSG_List!$A$35:$A$36</definedName>
    <definedName name="GSG_Type">GSG_List!$A$1:$A$2</definedName>
    <definedName name="GSG_Wall_Type" localSheetId="19">[9]GSG_List!$A$27:$A$27</definedName>
    <definedName name="GSG_Wall_Type">GSG_List!$A$27:$A$27</definedName>
    <definedName name="HeatingOnly" localSheetId="19">'[1]HVAC Lookup'!$F$33:$F$35</definedName>
    <definedName name="HeatingOnly">'[4]HVAC Lookup'!$F$33:$F$35</definedName>
    <definedName name="HeatingOnly_SCA">'[4]HVAC Lookup'!$F$33:$F$35</definedName>
    <definedName name="HeatingOnly_SCA2">'[4]HVAC Lookup'!$F$33:$F$35</definedName>
    <definedName name="HVAC">Lists!$A$48:$A$71</definedName>
    <definedName name="LightingSpaceType" localSheetId="19">'[12]Drop Down'!$W$2:$W$16</definedName>
    <definedName name="LightingSpaceType">'[13]Drop Down'!$W$2:$W$16</definedName>
    <definedName name="LightingSpaceType_SCA">'[13]Drop Down'!$W$2:$W$16</definedName>
    <definedName name="LPD" localSheetId="19">'[12]Drop Down'!$X$2:$X$16</definedName>
    <definedName name="LPD">'[13]Drop Down'!$X$2:$X$16</definedName>
    <definedName name="LPD_SCA">'[13]Drop Down'!$X$2:$X$16</definedName>
    <definedName name="LPD_SCA2">'[13]Drop Down'!$X$2:$X$16</definedName>
    <definedName name="Ltg_Bldg" localSheetId="19">'[10]Lighting Lookup'!$A$2:$A$33</definedName>
    <definedName name="Ltg_Bldg">'Lighting Lookup'!$A$2:$A$33</definedName>
    <definedName name="Ltg_ctrl">'[9]Lighting Lookup'!$I$2:$I$6</definedName>
    <definedName name="Ltg_Space" localSheetId="22">'GSG LPD'!$A$2:$A$107</definedName>
    <definedName name="Ltg_Space" localSheetId="20">'GSG LPD'!$A$2:$A$107</definedName>
    <definedName name="Ltg_Space" localSheetId="19">'[10]Lighting Lookup'!$E$2:$E$107</definedName>
    <definedName name="Ltg_Space">'Lighting Lookup'!$E$2:$E$107</definedName>
    <definedName name="LZ" localSheetId="9">'[8]Lighting Zones'!$B$2:$B$6</definedName>
    <definedName name="LZ" localSheetId="19">'[10]Lighting Zones'!$B$2:$B$6</definedName>
    <definedName name="LZ">'Lighting Zones'!$B$2:$B$6</definedName>
    <definedName name="LZDEC" localSheetId="9">'[8]Lighting Zones'!$C$2:$C$6</definedName>
    <definedName name="LZDEC" localSheetId="19">'[10]Lighting Zones'!$C$2:$C$6</definedName>
    <definedName name="LZDEC">'Lighting Zones'!$C$2:$C$6</definedName>
    <definedName name="LZONE">'Lighting Zones'!$A$2:$A$6</definedName>
    <definedName name="Modeled_Square_Feet">'[9]1,2,3 Information'!$C$32</definedName>
    <definedName name="Motor_Horsepower" localSheetId="7">'[4]HVAC Lookup'!$U$10:$W$29</definedName>
    <definedName name="Motor_Horsepower" localSheetId="19">'[5]HVAC Lookup'!$U$10:$W$29</definedName>
    <definedName name="Motor_Horsepower">'[14]HVAC Lookup'!$U$10:$W$29</definedName>
    <definedName name="Motor_Horsepower_SCA">'[14]HVAC Lookup'!$U$10:$W$29</definedName>
    <definedName name="Motor_Horsepower_SCA2">'[14]HVAC Lookup'!$U$10:$W$29</definedName>
    <definedName name="NewExisting" localSheetId="7">'[4]Envelope Lookup'!$BP$2:$BP$3</definedName>
    <definedName name="NewExisting" localSheetId="19">'[5]Envelope Lookup'!$BP$2:$BP$3</definedName>
    <definedName name="NewExisting">'[14]Envelope Lookup'!$BP$2:$BP$3</definedName>
    <definedName name="NewExisting_SCA">'[14]Envelope Lookup'!$BP$2:$BP$3</definedName>
    <definedName name="NewExisting_SCA2">'[14]Envelope Lookup'!$BP$2:$BP$3</definedName>
    <definedName name="NoA" localSheetId="19">'[1]HVAC Lookup'!$E$33:$E$43</definedName>
    <definedName name="NoA">'[4]HVAC Lookup'!$E$33:$E$43</definedName>
    <definedName name="NoA_SCA">'[4]HVAC Lookup'!$E$33:$E$43</definedName>
    <definedName name="NoA_SCA2">'[4]HVAC Lookup'!$E$33:$E$43</definedName>
    <definedName name="NoEconomizer" localSheetId="19">'[1]HVAC Lookup'!$H$33:$H$44</definedName>
    <definedName name="NoEconomizer">'[4]HVAC Lookup'!$H$33:$H$44</definedName>
    <definedName name="NoEconomizer_SCA">'[4]HVAC Lookup'!$H$33:$H$44</definedName>
    <definedName name="NoEconomizer_SCA2">'[4]HVAC Lookup'!$H$33:$H$44</definedName>
    <definedName name="Path">'[9]4. Compliance'!$B$4</definedName>
    <definedName name="_xlnm.Print_Area" localSheetId="27">'1,2,3 Information'!$A$1:$I$49</definedName>
    <definedName name="_xlnm.Print_Area" localSheetId="28">'4. Purchased Energy Rates'!$A$1:$I$21</definedName>
    <definedName name="_xlnm.Print_Area" localSheetId="29">'4a. Avg. Rotations'!$A$1:$M$27</definedName>
    <definedName name="_xlnm.Print_Area" localSheetId="30">'5. Usage Summary'!$A$1:$K$32</definedName>
    <definedName name="_xlnm.Print_Area" localSheetId="31">'6a. Ext. Wall Areas'!$A$1:$L$15</definedName>
    <definedName name="_xlnm.Print_Area" localSheetId="32">'6b. Fenestration'!$A$1:$N$26</definedName>
    <definedName name="_xlnm.Print_Area" localSheetId="33">'6c. Wall Types'!$A$1:$K$22</definedName>
    <definedName name="_xlnm.Print_Area" localSheetId="35">'6d. Interior LPD-Bldg  Method'!$A$1:$J$29</definedName>
    <definedName name="_xlnm.Print_Area" localSheetId="34">'6d. Interior LPD-Space Method'!$A$1:$J$29</definedName>
    <definedName name="_xlnm.Print_Area" localSheetId="36">'6e. Ext LPD 6f. Process Equip.'!$A$1:$H$27</definedName>
    <definedName name="_xlnm.Print_Area" localSheetId="38">'6g. Service HW'!$A$1:$H$13</definedName>
    <definedName name="_xlnm.Print_Area" localSheetId="39">'6i. HVAC Air-Side '!$A$1:$J$34</definedName>
    <definedName name="_xlnm.Print_Area" localSheetId="40">'6i. HVAC Air-Side  (2)'!$A$1:$J$34</definedName>
    <definedName name="_xlnm.Print_Area" localSheetId="41">'6j. HVAC Water-side CHW  '!$A$1:$H$26</definedName>
    <definedName name="_xlnm.Print_Area" localSheetId="42">'6j. HVAC Water-side CW&amp;CT'!$A$1:$H$18</definedName>
    <definedName name="_xlnm.Print_Area" localSheetId="43">'6l. HVAC Water-side HW&amp;Steam'!$A$1:$H$23</definedName>
    <definedName name="_xlnm.Print_Area" localSheetId="44">'6m. HVAC- Geothermal'!$A$1:$H$22</definedName>
    <definedName name="_xlnm.Print_Area" localSheetId="45">'6n. CHP'!$A$1:$H$18</definedName>
    <definedName name="_xlnm.Print_Area" localSheetId="37">'Ext LPD Calculator'!$A$1:$L$30</definedName>
    <definedName name="_xlnm.Print_Area" localSheetId="10">'GSG Avg Rotations'!$A$1:$L$27</definedName>
    <definedName name="_xlnm.Print_Area" localSheetId="26">Instructions!$A$1:$A$9</definedName>
    <definedName name="_xlnm.Print_Area" localSheetId="24">'Output Checklist'!$B:$E</definedName>
    <definedName name="_xlnm.Print_Area" localSheetId="18">'SCA Ext LPD Process Equ'!$A$1:$H$27</definedName>
    <definedName name="_xlnm.Print_Area" localSheetId="19">'SCA Service HW'!$A$1:$H$13</definedName>
    <definedName name="ProjectSpaceTypes" localSheetId="19">[1]Lighting!$B$27:$B$38</definedName>
    <definedName name="ProjectSpaceTypes">[4]Lighting!$B$27:$B$38</definedName>
    <definedName name="ProjectSpaceTypes_SCA">[4]Lighting!$B$27:$B$38</definedName>
    <definedName name="ProjectSpaceTypes_SCA2">[4]Lighting!$B$27:$B$38</definedName>
    <definedName name="ProposedHVAC" localSheetId="19">'[1]General HVAC'!$B$20:$B$25</definedName>
    <definedName name="ProposedHVAC">'[4]General HVAC'!$B$20:$B$25</definedName>
    <definedName name="ProposedHVAC_SCA">'[4]General HVAC'!$B$20:$B$25</definedName>
    <definedName name="ProposedHVAC_SCA2">'[4]General HVAC'!$B$20:$B$25</definedName>
    <definedName name="ra">[9]Lists!$R$61</definedName>
    <definedName name="rb">[9]Lists!$R$62</definedName>
    <definedName name="rca">[9]Lists!$R$63</definedName>
    <definedName name="rd">[9]Lists!$R$64</definedName>
    <definedName name="re">[9]Lists!$R$65</definedName>
    <definedName name="Res" localSheetId="32">Lists!$A$1:$A$2</definedName>
    <definedName name="Res" localSheetId="33">Lists!$A$1:$A$2</definedName>
    <definedName name="Res" localSheetId="15">GSG_List!$A$1:$A$2</definedName>
    <definedName name="Res" localSheetId="16">GSG_List!$A$1:$A$2</definedName>
    <definedName name="Res" localSheetId="14">GSG_List!$A$1:$A$2</definedName>
    <definedName name="Roof_Type" localSheetId="22">GSG_List!$A$25:$A$25</definedName>
    <definedName name="Roof_Type" localSheetId="20">GSG_List!$A$25:$A$25</definedName>
    <definedName name="Roof_Type" localSheetId="19">[10]Lists!$A$25:$A$27</definedName>
    <definedName name="Roof_Type">Lists!$A$25:$A$27</definedName>
    <definedName name="SATreset" localSheetId="19">'[1]HVAC Lookup'!$I$33:$I$44</definedName>
    <definedName name="SATreset">'[4]HVAC Lookup'!$I$33:$I$44</definedName>
    <definedName name="SATreset_SCA">'[4]HVAC Lookup'!$I$33:$I$44</definedName>
    <definedName name="SATreset_SCA2">'[4]HVAC Lookup'!$I$33:$I$44</definedName>
    <definedName name="SI_IP_Units" localSheetId="19">'[15]General Information'!$I$12</definedName>
    <definedName name="SI_IP_Units">'[16]General Information'!$I$12</definedName>
    <definedName name="SI_IP_Units_SCA">'[16]General Information'!$I$12</definedName>
    <definedName name="SI_IP_Units_SCA2">'[16]General Information'!$I$12</definedName>
    <definedName name="SkylightFrame" localSheetId="7">'[4]Envelope Lookup'!$AC$1:$AH$1</definedName>
    <definedName name="SkylightFrame" localSheetId="19">'[5]Envelope Lookup'!$AC$1:$AH$1</definedName>
    <definedName name="SkylightFrame">'[14]Envelope Lookup'!$AC$1:$AH$1</definedName>
    <definedName name="SkylightFrame_SCA">'[14]Envelope Lookup'!$AC$1:$AH$1</definedName>
    <definedName name="SkylightFrame_SCA2">'[14]Envelope Lookup'!$AC$1:$AH$1</definedName>
    <definedName name="Slab" localSheetId="22">GSG_List!$A$35:$A$36</definedName>
    <definedName name="Slab" localSheetId="20">GSG_List!$A$35:$A$36</definedName>
    <definedName name="Slab" localSheetId="19">[10]Lists!$A$40:$A$41</definedName>
    <definedName name="Slab">Lists!$A$40:$A$41</definedName>
    <definedName name="SpaceConditioningCategory" localSheetId="7">'[4]Envelope Lookup'!$BQ$2:$BQ$4</definedName>
    <definedName name="SpaceConditioningCategory" localSheetId="19">'[5]Envelope Lookup'!$BQ$2:$BQ$4</definedName>
    <definedName name="SpaceConditioningCategory">'[14]Envelope Lookup'!$BQ$2:$BQ$4</definedName>
    <definedName name="SpaceConditioningCategory_SCA">'[14]Envelope Lookup'!$BQ$2:$BQ$4</definedName>
    <definedName name="SpaceConditioningCategory_SCA2">'[14]Envelope Lookup'!$BQ$2:$BQ$4</definedName>
    <definedName name="SpaceType" localSheetId="19">'[12]Drop Down'!$U$2:$U$15</definedName>
    <definedName name="SpaceType">'[13]Drop Down'!$U$2:$U$15</definedName>
    <definedName name="SpaceType_SCA">'[13]Drop Down'!$U$2:$U$15</definedName>
    <definedName name="SpaceType_SCA2">'[13]Drop Down'!$U$2:$U$15</definedName>
    <definedName name="SURFACE2">'Raw Data'!$Q$3:$Q$24</definedName>
    <definedName name="SxSCategories">'Lighting Lookup'!$E$2:$E$111</definedName>
    <definedName name="TradableExterior" localSheetId="39">'Lighting Lookup'!#REF!</definedName>
    <definedName name="TradableExterior" localSheetId="40">'Lighting Lookup'!#REF!</definedName>
    <definedName name="TradableExterior" localSheetId="41">'Lighting Lookup'!#REF!</definedName>
    <definedName name="TradableExterior" localSheetId="42">'Lighting Lookup'!#REF!</definedName>
    <definedName name="TradableExterior" localSheetId="43">'Lighting Lookup'!#REF!</definedName>
    <definedName name="TradableExterior" localSheetId="44">'Lighting Lookup'!#REF!</definedName>
    <definedName name="TradableExterior" localSheetId="45">'Lighting Lookup'!#REF!</definedName>
    <definedName name="TradableExterior" localSheetId="3">'Lighting Lookup'!#REF!</definedName>
    <definedName name="TradableExterior" localSheetId="1">'Lighting Lookup'!#REF!</definedName>
    <definedName name="TradableExterior" localSheetId="2">'Lighting Lookup'!#REF!</definedName>
    <definedName name="TradableExterior">'[10]Lighting Lookup'!#REF!</definedName>
    <definedName name="Type">Lists!$A$1:$A$2</definedName>
    <definedName name="UfactorMethod" localSheetId="19">'[1]Shading &amp; Fenestration'!$H$37:$H$42</definedName>
    <definedName name="UfactorMethod">'[4]Shading &amp; Fenestration'!$H$37:$H$42</definedName>
    <definedName name="UfactorMethod_SCA">'[4]Shading &amp; Fenestration'!$H$37:$H$42</definedName>
    <definedName name="UfactorMethod_SCA2">'[4]Shading &amp; Fenestration'!$H$37:$H$42</definedName>
    <definedName name="UnitaryCooling" localSheetId="19">'[1]HVAC Lookup'!$C$33:$C$41</definedName>
    <definedName name="UnitaryCooling">'[4]HVAC Lookup'!$C$33:$C$41</definedName>
    <definedName name="UnitaryCooling_SCA">'[4]HVAC Lookup'!$C$33:$C$41</definedName>
    <definedName name="UnitaryCooling_SCA2">'[4]HVAC Lookup'!$C$33:$C$41</definedName>
    <definedName name="UnitaryHeating" localSheetId="19">'[1]HVAC Lookup'!$D$33:$D$38</definedName>
    <definedName name="UnitaryHeating">'[4]HVAC Lookup'!$D$33:$D$38</definedName>
    <definedName name="UnitaryHeating_SCA">'[4]HVAC Lookup'!$D$33:$D$38</definedName>
    <definedName name="UnitaryHeating_SCA2">'[4]HVAC Lookup'!$D$33:$D$38</definedName>
    <definedName name="UnitaryHeatingSize" localSheetId="19">'[1]HVAC Lookup'!$G$33:$G$38</definedName>
    <definedName name="UnitaryHeatingSize">'[4]HVAC Lookup'!$G$33:$G$38</definedName>
    <definedName name="UnitaryHeatingSize_SCA">'[4]HVAC Lookup'!$G$33:$G$38</definedName>
    <definedName name="UnitaryHeatingSize_SCA2">'[4]HVAC Lookup'!$G$33:$G$38</definedName>
    <definedName name="Units" localSheetId="7">'[4]HVAC Lookup'!$L$9:$L$12</definedName>
    <definedName name="Units" localSheetId="19">'[5]HVAC Lookup'!$L$9:$L$12</definedName>
    <definedName name="Units">'[14]HVAC Lookup'!$L$9:$L$12</definedName>
    <definedName name="Units_SCA">'[14]HVAC Lookup'!$L$9:$L$12</definedName>
    <definedName name="Units_SCA2">'[14]HVAC Lookup'!$L$9:$L$12</definedName>
    <definedName name="Wall_Type" localSheetId="22">GSG_List!$A$27:$A$27</definedName>
    <definedName name="Wall_Type" localSheetId="20">GSG_List!$A$27:$A$27</definedName>
    <definedName name="Wall_Type" localSheetId="19">[10]Lists!$A$29:$A$32</definedName>
    <definedName name="Wall_Type">Lists!$A$29:$A$32</definedName>
    <definedName name="Yes_No" localSheetId="22">GSG_List!$N$1:$N$2</definedName>
    <definedName name="Yes_No" localSheetId="20">GSG_List!$N$1:$N$2</definedName>
    <definedName name="Yes_No" localSheetId="19">[10]Lists!$N$1:$N$2</definedName>
    <definedName name="Yes_No">Lists!$N$1:$N$2</definedName>
    <definedName name="Yes_No_SCA">[9]Lists!$N$1:$N$2</definedName>
    <definedName name="YESNO" localSheetId="9">'[8]Lighting Zones'!$B$11:$B$12</definedName>
    <definedName name="YESNO">'Lighting Zones'!$B$11:$B$12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59" l="1"/>
  <c r="I14" i="59"/>
  <c r="H14" i="59"/>
  <c r="G14" i="59"/>
  <c r="E14" i="59"/>
  <c r="D14" i="59"/>
  <c r="B14" i="59"/>
  <c r="J13" i="59"/>
  <c r="I13" i="59"/>
  <c r="H13" i="59"/>
  <c r="G13" i="59"/>
  <c r="E13" i="59"/>
  <c r="D13" i="59"/>
  <c r="B13" i="59"/>
  <c r="J12" i="59"/>
  <c r="I12" i="59"/>
  <c r="H12" i="59"/>
  <c r="G12" i="59"/>
  <c r="E12" i="59"/>
  <c r="D12" i="59"/>
  <c r="B12" i="59"/>
  <c r="J11" i="59"/>
  <c r="I11" i="59"/>
  <c r="H11" i="59"/>
  <c r="G11" i="59"/>
  <c r="E11" i="59"/>
  <c r="D11" i="59"/>
  <c r="B11" i="59"/>
  <c r="J10" i="59"/>
  <c r="I10" i="59"/>
  <c r="H10" i="59"/>
  <c r="G10" i="59"/>
  <c r="E10" i="59"/>
  <c r="D10" i="59"/>
  <c r="B10" i="59"/>
  <c r="J9" i="59"/>
  <c r="I9" i="59"/>
  <c r="H9" i="59"/>
  <c r="E9" i="59"/>
  <c r="D9" i="59"/>
  <c r="B9" i="59"/>
  <c r="G9" i="59" s="1"/>
  <c r="J8" i="59"/>
  <c r="I8" i="59"/>
  <c r="E8" i="59"/>
  <c r="J7" i="59"/>
  <c r="I7" i="59"/>
  <c r="H7" i="59"/>
  <c r="G7" i="59"/>
  <c r="E7" i="59"/>
  <c r="D7" i="59"/>
  <c r="B7" i="59"/>
  <c r="J6" i="59"/>
  <c r="I6" i="59"/>
  <c r="E6" i="59"/>
  <c r="J5" i="59"/>
  <c r="I5" i="59"/>
  <c r="H5" i="59"/>
  <c r="G5" i="59"/>
  <c r="E5" i="59"/>
  <c r="D5" i="59"/>
  <c r="B5" i="59"/>
  <c r="H26" i="49"/>
  <c r="C13" i="58" l="1"/>
  <c r="C12" i="58"/>
  <c r="C11" i="58"/>
  <c r="C10" i="58"/>
  <c r="C9" i="58"/>
  <c r="C8" i="58"/>
  <c r="C7" i="58"/>
  <c r="C6" i="58"/>
  <c r="D7" i="58"/>
  <c r="D6" i="58"/>
  <c r="G13" i="58"/>
  <c r="G12" i="58"/>
  <c r="G11" i="58"/>
  <c r="G10" i="58"/>
  <c r="G9" i="58"/>
  <c r="G8" i="58"/>
  <c r="G7" i="58"/>
  <c r="G6" i="58"/>
  <c r="H7" i="58"/>
  <c r="H6" i="58"/>
  <c r="G5" i="58"/>
  <c r="C5" i="58"/>
  <c r="E5" i="58"/>
  <c r="D49" i="49" l="1"/>
  <c r="D8" i="56"/>
  <c r="H47" i="49"/>
  <c r="H43" i="49"/>
  <c r="H42" i="49"/>
  <c r="H40" i="49"/>
  <c r="J6" i="45" l="1"/>
  <c r="J10" i="55"/>
  <c r="I10" i="55"/>
  <c r="H44" i="49"/>
  <c r="H45" i="49" s="1"/>
  <c r="K11" i="43"/>
  <c r="E34" i="56" l="1"/>
  <c r="E37" i="56"/>
  <c r="E36" i="56"/>
  <c r="E35" i="56"/>
  <c r="C137" i="41"/>
  <c r="B130" i="41"/>
  <c r="A133" i="41" s="1"/>
  <c r="B137" i="41"/>
  <c r="D16" i="56"/>
  <c r="E16" i="56" s="1"/>
  <c r="F16" i="56" s="1"/>
  <c r="D17" i="56"/>
  <c r="E17" i="56" s="1"/>
  <c r="F17" i="56" s="1"/>
  <c r="D18" i="56"/>
  <c r="E18" i="56" s="1"/>
  <c r="F18" i="56" s="1"/>
  <c r="D19" i="56"/>
  <c r="E19" i="56" s="1"/>
  <c r="F19" i="56" s="1"/>
  <c r="D20" i="56"/>
  <c r="E20" i="56" s="1"/>
  <c r="F20" i="56" s="1"/>
  <c r="D21" i="56"/>
  <c r="E21" i="56" s="1"/>
  <c r="F21" i="56" s="1"/>
  <c r="D22" i="56"/>
  <c r="E22" i="56" s="1"/>
  <c r="F22" i="56" s="1"/>
  <c r="D23" i="56"/>
  <c r="E23" i="56" s="1"/>
  <c r="F23" i="56" s="1"/>
  <c r="D24" i="56"/>
  <c r="E24" i="56" s="1"/>
  <c r="F24" i="56" s="1"/>
  <c r="D25" i="56"/>
  <c r="E25" i="56" s="1"/>
  <c r="F25" i="56" s="1"/>
  <c r="D26" i="56"/>
  <c r="E26" i="56" s="1"/>
  <c r="F26" i="56" s="1"/>
  <c r="D15" i="56"/>
  <c r="E15" i="56" s="1"/>
  <c r="F15" i="56" s="1"/>
  <c r="C16" i="56"/>
  <c r="C17" i="56"/>
  <c r="C18" i="56"/>
  <c r="C19" i="56"/>
  <c r="C20" i="56"/>
  <c r="C21" i="56"/>
  <c r="C22" i="56"/>
  <c r="C23" i="56"/>
  <c r="C24" i="56"/>
  <c r="C25" i="56"/>
  <c r="C26" i="56"/>
  <c r="A16" i="56"/>
  <c r="A17" i="56"/>
  <c r="A18" i="56"/>
  <c r="A19" i="56"/>
  <c r="A20" i="56"/>
  <c r="A21" i="56"/>
  <c r="A22" i="56"/>
  <c r="A23" i="56"/>
  <c r="A24" i="56"/>
  <c r="A25" i="56"/>
  <c r="A26" i="56"/>
  <c r="C15" i="56"/>
  <c r="A15" i="56"/>
  <c r="E7" i="56"/>
  <c r="A140" i="41" l="1"/>
  <c r="A138" i="41"/>
  <c r="A139" i="41"/>
  <c r="A132" i="41"/>
  <c r="A131" i="41"/>
  <c r="A134" i="41"/>
  <c r="A135" i="41"/>
  <c r="C27" i="56" l="1"/>
  <c r="D14" i="56"/>
  <c r="E14" i="56" s="1"/>
  <c r="E27" i="56" l="1"/>
  <c r="D27" i="56"/>
  <c r="F27" i="56"/>
  <c r="B6" i="55"/>
  <c r="H18" i="55"/>
  <c r="I18" i="55"/>
  <c r="H19" i="55"/>
  <c r="I19" i="55"/>
  <c r="H20" i="55"/>
  <c r="I20" i="55"/>
  <c r="B12" i="55"/>
  <c r="H12" i="55"/>
  <c r="I12" i="55"/>
  <c r="B13" i="55"/>
  <c r="B14" i="55" s="1"/>
  <c r="B15" i="55" s="1"/>
  <c r="B16" i="55" s="1"/>
  <c r="B17" i="55" s="1"/>
  <c r="B18" i="55" s="1"/>
  <c r="B19" i="55" s="1"/>
  <c r="B20" i="55" s="1"/>
  <c r="H13" i="55"/>
  <c r="I13" i="55"/>
  <c r="H14" i="55"/>
  <c r="I14" i="55"/>
  <c r="H15" i="55"/>
  <c r="I15" i="55"/>
  <c r="H16" i="55"/>
  <c r="I16" i="55"/>
  <c r="H17" i="55"/>
  <c r="I17" i="55"/>
  <c r="I11" i="55"/>
  <c r="H11" i="55"/>
  <c r="B11" i="55"/>
  <c r="H36" i="49" l="1"/>
  <c r="G10" i="55" s="1"/>
  <c r="H35" i="49"/>
  <c r="E10" i="55" s="1"/>
  <c r="H10" i="55" s="1"/>
  <c r="D39" i="49"/>
  <c r="D41" i="49" s="1"/>
  <c r="D35" i="49"/>
  <c r="D40" i="49"/>
  <c r="D24" i="49" l="1"/>
  <c r="J19" i="55" s="1"/>
  <c r="J20" i="55" l="1"/>
  <c r="J12" i="55"/>
  <c r="J18" i="55"/>
  <c r="J11" i="55"/>
  <c r="J17" i="55"/>
  <c r="J14" i="55"/>
  <c r="J16" i="55"/>
  <c r="J15" i="55"/>
  <c r="J13" i="55"/>
  <c r="B22" i="53"/>
  <c r="E19" i="53"/>
  <c r="B19" i="53" s="1"/>
  <c r="B18" i="53"/>
  <c r="K5" i="47"/>
  <c r="H15" i="44" l="1"/>
  <c r="G15" i="44"/>
  <c r="D15" i="44"/>
  <c r="C15" i="44"/>
  <c r="H14" i="44"/>
  <c r="G14" i="44"/>
  <c r="D14" i="44"/>
  <c r="C14" i="44"/>
  <c r="H13" i="44"/>
  <c r="G13" i="44"/>
  <c r="D13" i="44"/>
  <c r="C13" i="44"/>
  <c r="H12" i="44"/>
  <c r="G12" i="44"/>
  <c r="D12" i="44"/>
  <c r="C12" i="44"/>
  <c r="H11" i="44"/>
  <c r="G11" i="44"/>
  <c r="D11" i="44"/>
  <c r="C11" i="44"/>
  <c r="H10" i="44"/>
  <c r="G10" i="44"/>
  <c r="D10" i="44"/>
  <c r="C10" i="44"/>
  <c r="H9" i="44"/>
  <c r="G9" i="44"/>
  <c r="D9" i="44"/>
  <c r="C9" i="44"/>
  <c r="H8" i="44"/>
  <c r="G8" i="44"/>
  <c r="D8" i="44"/>
  <c r="C8" i="44"/>
  <c r="H7" i="44"/>
  <c r="G7" i="44"/>
  <c r="D7" i="44"/>
  <c r="C7" i="44"/>
  <c r="H6" i="44"/>
  <c r="G6" i="44"/>
  <c r="D6" i="44"/>
  <c r="C6" i="44"/>
  <c r="E23" i="53" l="1"/>
  <c r="C16" i="44"/>
  <c r="D48" i="49" s="1"/>
  <c r="H16" i="44"/>
  <c r="D16" i="44"/>
  <c r="G16" i="44"/>
  <c r="I6" i="44" s="1"/>
  <c r="E21" i="53" l="1"/>
  <c r="D53" i="49"/>
  <c r="D54" i="49" s="1"/>
  <c r="E25" i="53"/>
  <c r="B25" i="53" s="1"/>
  <c r="E24" i="53"/>
  <c r="B24" i="53" s="1"/>
  <c r="I15" i="44"/>
  <c r="I16" i="44"/>
  <c r="C25" i="53"/>
  <c r="I14" i="44"/>
  <c r="I9" i="44"/>
  <c r="I11" i="44"/>
  <c r="I7" i="44"/>
  <c r="I10" i="44"/>
  <c r="I13" i="44"/>
  <c r="I8" i="44"/>
  <c r="I12" i="44"/>
  <c r="E15" i="28"/>
  <c r="C7" i="28"/>
  <c r="D7" i="28"/>
  <c r="F23" i="53" l="1"/>
  <c r="B23" i="53" s="1"/>
  <c r="C23" i="53"/>
  <c r="C24" i="53"/>
  <c r="B21" i="53"/>
  <c r="C21" i="53"/>
  <c r="E19" i="52"/>
  <c r="E17" i="52"/>
  <c r="F18" i="52"/>
  <c r="E18" i="52"/>
  <c r="F14" i="52"/>
  <c r="E15" i="52"/>
  <c r="E14" i="52"/>
  <c r="E13" i="52"/>
  <c r="E10" i="52"/>
  <c r="E9" i="52"/>
  <c r="F8" i="52"/>
  <c r="E8" i="52"/>
  <c r="F7" i="52"/>
  <c r="E7" i="52"/>
  <c r="F6" i="52"/>
  <c r="E6" i="52"/>
  <c r="E20" i="52"/>
  <c r="E16" i="52"/>
  <c r="E12" i="52"/>
  <c r="E11" i="52"/>
  <c r="E5" i="52"/>
  <c r="C93" i="41"/>
  <c r="C92" i="41"/>
  <c r="D95" i="41"/>
  <c r="D96" i="41" s="1"/>
  <c r="D97" i="41" s="1"/>
  <c r="D98" i="41" s="1"/>
  <c r="D99" i="41" s="1"/>
  <c r="D100" i="41" s="1"/>
  <c r="D101" i="41" s="1"/>
  <c r="D102" i="41" s="1"/>
  <c r="D103" i="41" s="1"/>
  <c r="D104" i="41" s="1"/>
  <c r="D105" i="41" s="1"/>
  <c r="D106" i="41" s="1"/>
  <c r="D107" i="41" s="1"/>
  <c r="D108" i="41" s="1"/>
  <c r="D109" i="41" s="1"/>
  <c r="D110" i="41" s="1"/>
  <c r="D111" i="41" s="1"/>
  <c r="A95" i="41"/>
  <c r="B95" i="41" s="1"/>
  <c r="C95" i="41" s="1"/>
  <c r="B94" i="41"/>
  <c r="C94" i="41" s="1"/>
  <c r="B87" i="41"/>
  <c r="C87" i="41" s="1"/>
  <c r="B86" i="41"/>
  <c r="C86" i="41" s="1"/>
  <c r="B85" i="41"/>
  <c r="C85" i="41" s="1"/>
  <c r="B84" i="41"/>
  <c r="C84" i="41" s="1"/>
  <c r="B83" i="41"/>
  <c r="C83" i="41" s="1"/>
  <c r="B82" i="41"/>
  <c r="C82" i="41" s="1"/>
  <c r="B81" i="41"/>
  <c r="C81" i="41" s="1"/>
  <c r="B80" i="41"/>
  <c r="C80" i="41" s="1"/>
  <c r="B79" i="41"/>
  <c r="C79" i="41" s="1"/>
  <c r="B78" i="41"/>
  <c r="C78" i="41" s="1"/>
  <c r="B77" i="41"/>
  <c r="C77" i="41" s="1"/>
  <c r="B76" i="41"/>
  <c r="C76" i="41" s="1"/>
  <c r="B75" i="41"/>
  <c r="C75" i="41" s="1"/>
  <c r="B74" i="41"/>
  <c r="C74" i="41" s="1"/>
  <c r="D73" i="41"/>
  <c r="D74" i="41" s="1"/>
  <c r="D75" i="41" s="1"/>
  <c r="D76" i="41" s="1"/>
  <c r="D77" i="41" s="1"/>
  <c r="D78" i="41" s="1"/>
  <c r="D79" i="41" s="1"/>
  <c r="D80" i="41" s="1"/>
  <c r="D81" i="41" s="1"/>
  <c r="D82" i="41" s="1"/>
  <c r="D83" i="41" s="1"/>
  <c r="D84" i="41" s="1"/>
  <c r="D85" i="41" s="1"/>
  <c r="D86" i="41" s="1"/>
  <c r="D87" i="41" s="1"/>
  <c r="B73" i="41"/>
  <c r="C73" i="41" s="1"/>
  <c r="B72" i="41"/>
  <c r="C72" i="41" s="1"/>
  <c r="B71" i="41"/>
  <c r="C71" i="41" s="1"/>
  <c r="A96" i="41" l="1"/>
  <c r="A97" i="41" l="1"/>
  <c r="B96" i="41"/>
  <c r="C96" i="41" s="1"/>
  <c r="C6" i="50"/>
  <c r="C17" i="50" s="1"/>
  <c r="D19" i="49"/>
  <c r="D20" i="49"/>
  <c r="D28" i="49"/>
  <c r="D27" i="49"/>
  <c r="D26" i="49"/>
  <c r="D46" i="49"/>
  <c r="H41" i="49" s="1"/>
  <c r="D45" i="49"/>
  <c r="H17" i="48"/>
  <c r="H13" i="48"/>
  <c r="H23" i="48"/>
  <c r="H22" i="48"/>
  <c r="H21" i="48"/>
  <c r="H20" i="48"/>
  <c r="G23" i="48"/>
  <c r="G22" i="48"/>
  <c r="G21" i="48"/>
  <c r="G20" i="48"/>
  <c r="G18" i="48"/>
  <c r="G17" i="48"/>
  <c r="G16" i="48"/>
  <c r="G14" i="48"/>
  <c r="G13" i="48"/>
  <c r="G12" i="48"/>
  <c r="G9" i="48"/>
  <c r="G8" i="48"/>
  <c r="H7" i="48"/>
  <c r="G7" i="48"/>
  <c r="H6" i="48"/>
  <c r="G6" i="48"/>
  <c r="G19" i="48"/>
  <c r="G15" i="48"/>
  <c r="G11" i="48"/>
  <c r="G10" i="48"/>
  <c r="G5" i="48"/>
  <c r="C16" i="48"/>
  <c r="C18" i="48"/>
  <c r="C14" i="48"/>
  <c r="D23" i="48"/>
  <c r="C23" i="48"/>
  <c r="D22" i="48"/>
  <c r="C22" i="48"/>
  <c r="D21" i="48"/>
  <c r="C21" i="48"/>
  <c r="D20" i="48"/>
  <c r="C20" i="48"/>
  <c r="D17" i="48"/>
  <c r="C17" i="48"/>
  <c r="D13" i="48"/>
  <c r="C13" i="48"/>
  <c r="C12" i="48"/>
  <c r="C19" i="48"/>
  <c r="C15" i="48"/>
  <c r="C11" i="48"/>
  <c r="C10" i="48"/>
  <c r="C9" i="48"/>
  <c r="C8" i="48"/>
  <c r="D7" i="48"/>
  <c r="C7" i="48"/>
  <c r="D6" i="48"/>
  <c r="C6" i="48"/>
  <c r="C5" i="48"/>
  <c r="J14" i="45"/>
  <c r="K14" i="45" s="1"/>
  <c r="J7" i="45"/>
  <c r="K7" i="45" s="1"/>
  <c r="J8" i="45"/>
  <c r="K8" i="45" s="1"/>
  <c r="J9" i="45"/>
  <c r="K9" i="45" s="1"/>
  <c r="J10" i="45"/>
  <c r="K10" i="45" s="1"/>
  <c r="J11" i="45"/>
  <c r="K11" i="45" s="1"/>
  <c r="J12" i="45"/>
  <c r="K12" i="45" s="1"/>
  <c r="J13" i="45"/>
  <c r="K13" i="45" s="1"/>
  <c r="K6" i="45"/>
  <c r="I7" i="45"/>
  <c r="I8" i="45"/>
  <c r="I9" i="45"/>
  <c r="I10" i="45"/>
  <c r="I11" i="45"/>
  <c r="I12" i="45"/>
  <c r="I13" i="45"/>
  <c r="I14" i="45"/>
  <c r="I6" i="45"/>
  <c r="J11" i="46"/>
  <c r="I11" i="46"/>
  <c r="H11" i="46"/>
  <c r="J10" i="46"/>
  <c r="I10" i="46"/>
  <c r="H10" i="46"/>
  <c r="J9" i="46"/>
  <c r="I9" i="46"/>
  <c r="H9" i="46"/>
  <c r="J8" i="46"/>
  <c r="I8" i="46"/>
  <c r="H8" i="46"/>
  <c r="J7" i="46"/>
  <c r="I7" i="46"/>
  <c r="H7" i="46"/>
  <c r="J6" i="46"/>
  <c r="H6" i="46"/>
  <c r="J5" i="46"/>
  <c r="I5" i="46"/>
  <c r="H5" i="46"/>
  <c r="J4" i="46"/>
  <c r="I4" i="46"/>
  <c r="H4" i="46"/>
  <c r="I6" i="46"/>
  <c r="D5" i="46"/>
  <c r="D6" i="46"/>
  <c r="D7" i="46"/>
  <c r="D8" i="46"/>
  <c r="D9" i="46"/>
  <c r="D10" i="46"/>
  <c r="D11" i="46"/>
  <c r="D4" i="46"/>
  <c r="B5" i="46"/>
  <c r="G5" i="46" s="1"/>
  <c r="B6" i="46"/>
  <c r="B7" i="46"/>
  <c r="G7" i="46" s="1"/>
  <c r="B8" i="46"/>
  <c r="G8" i="46" s="1"/>
  <c r="B9" i="46"/>
  <c r="G9" i="46" s="1"/>
  <c r="B10" i="46"/>
  <c r="G10" i="46" s="1"/>
  <c r="B11" i="46"/>
  <c r="G11" i="46" s="1"/>
  <c r="B4" i="46"/>
  <c r="G4" i="46" s="1"/>
  <c r="D14" i="45"/>
  <c r="D7" i="45"/>
  <c r="D8" i="45"/>
  <c r="D9" i="45"/>
  <c r="D10" i="45"/>
  <c r="D11" i="45"/>
  <c r="D12" i="45"/>
  <c r="D13" i="45"/>
  <c r="D6" i="45"/>
  <c r="M6" i="45"/>
  <c r="N6" i="45"/>
  <c r="O6" i="45"/>
  <c r="M7" i="45"/>
  <c r="N7" i="45"/>
  <c r="O7" i="45"/>
  <c r="M8" i="45"/>
  <c r="N8" i="45"/>
  <c r="O8" i="45"/>
  <c r="M9" i="45"/>
  <c r="N9" i="45"/>
  <c r="O9" i="45"/>
  <c r="M10" i="45"/>
  <c r="N10" i="45"/>
  <c r="O10" i="45"/>
  <c r="M11" i="45"/>
  <c r="N11" i="45"/>
  <c r="O11" i="45"/>
  <c r="M12" i="45"/>
  <c r="N12" i="45"/>
  <c r="O12" i="45"/>
  <c r="M13" i="45"/>
  <c r="N13" i="45"/>
  <c r="O13" i="45"/>
  <c r="M14" i="45"/>
  <c r="N14" i="45"/>
  <c r="O14" i="45"/>
  <c r="L7" i="45"/>
  <c r="L8" i="45"/>
  <c r="L9" i="45"/>
  <c r="L10" i="45"/>
  <c r="L11" i="45"/>
  <c r="L12" i="45"/>
  <c r="L13" i="45"/>
  <c r="L14" i="45"/>
  <c r="L6" i="45"/>
  <c r="I6" i="47"/>
  <c r="J6" i="47"/>
  <c r="K6" i="47"/>
  <c r="I7" i="47"/>
  <c r="J7" i="47"/>
  <c r="K7" i="47"/>
  <c r="I8" i="47"/>
  <c r="J8" i="47"/>
  <c r="K8" i="47"/>
  <c r="I9" i="47"/>
  <c r="J9" i="47"/>
  <c r="K9" i="47"/>
  <c r="I10" i="47"/>
  <c r="J10" i="47"/>
  <c r="K10" i="47"/>
  <c r="I11" i="47"/>
  <c r="J11" i="47"/>
  <c r="K11" i="47"/>
  <c r="I12" i="47"/>
  <c r="J12" i="47"/>
  <c r="K12" i="47"/>
  <c r="I13" i="47"/>
  <c r="J13" i="47"/>
  <c r="K13" i="47"/>
  <c r="I14" i="47"/>
  <c r="J14" i="47"/>
  <c r="K14" i="47"/>
  <c r="I15" i="47"/>
  <c r="J15" i="47"/>
  <c r="K15" i="47"/>
  <c r="I16" i="47"/>
  <c r="J16" i="47"/>
  <c r="K16" i="47"/>
  <c r="I17" i="47"/>
  <c r="J17" i="47"/>
  <c r="K17" i="47"/>
  <c r="I18" i="47"/>
  <c r="J18" i="47"/>
  <c r="K18" i="47"/>
  <c r="I19" i="47"/>
  <c r="J19" i="47"/>
  <c r="K19" i="47"/>
  <c r="I20" i="47"/>
  <c r="J20" i="47"/>
  <c r="K20" i="47"/>
  <c r="I21" i="47"/>
  <c r="J21" i="47"/>
  <c r="K21" i="47"/>
  <c r="I22" i="47"/>
  <c r="J22" i="47"/>
  <c r="K22" i="47"/>
  <c r="I23" i="47"/>
  <c r="J23" i="47"/>
  <c r="K23" i="47"/>
  <c r="I24" i="47"/>
  <c r="J24" i="47"/>
  <c r="K24" i="47"/>
  <c r="I25" i="47"/>
  <c r="J25" i="47"/>
  <c r="K25" i="47"/>
  <c r="I26" i="47"/>
  <c r="J26" i="47"/>
  <c r="K26" i="47"/>
  <c r="I27" i="47"/>
  <c r="J27" i="47"/>
  <c r="K27" i="47"/>
  <c r="I28" i="47"/>
  <c r="J28" i="47"/>
  <c r="K28" i="47"/>
  <c r="J5" i="47"/>
  <c r="I5" i="47"/>
  <c r="C6" i="47"/>
  <c r="D6" i="47"/>
  <c r="C7" i="47"/>
  <c r="D7" i="47"/>
  <c r="C8" i="47"/>
  <c r="D8" i="47"/>
  <c r="C9" i="47"/>
  <c r="D9" i="47"/>
  <c r="C10" i="47"/>
  <c r="D10" i="47"/>
  <c r="C11" i="47"/>
  <c r="D11" i="47"/>
  <c r="C12" i="47"/>
  <c r="D12" i="47"/>
  <c r="C13" i="47"/>
  <c r="D13" i="47"/>
  <c r="C14" i="47"/>
  <c r="D14" i="47"/>
  <c r="C15" i="47"/>
  <c r="D15" i="47"/>
  <c r="C16" i="47"/>
  <c r="D16" i="47"/>
  <c r="C17" i="47"/>
  <c r="D17" i="47"/>
  <c r="C18" i="47"/>
  <c r="D18" i="47"/>
  <c r="C19" i="47"/>
  <c r="D19" i="47"/>
  <c r="C20" i="47"/>
  <c r="D20" i="47"/>
  <c r="C21" i="47"/>
  <c r="D21" i="47"/>
  <c r="C22" i="47"/>
  <c r="D22" i="47"/>
  <c r="C23" i="47"/>
  <c r="D23" i="47"/>
  <c r="C24" i="47"/>
  <c r="D24" i="47"/>
  <c r="C25" i="47"/>
  <c r="D25" i="47"/>
  <c r="C26" i="47"/>
  <c r="D26" i="47"/>
  <c r="C27" i="47"/>
  <c r="D27" i="47"/>
  <c r="C28" i="47"/>
  <c r="D28" i="47"/>
  <c r="B6" i="47"/>
  <c r="B7" i="47"/>
  <c r="B8" i="47"/>
  <c r="B9" i="47"/>
  <c r="B10" i="47"/>
  <c r="B11" i="47"/>
  <c r="B12" i="47"/>
  <c r="B13" i="47"/>
  <c r="B14" i="47"/>
  <c r="B15" i="47"/>
  <c r="B16" i="47"/>
  <c r="B17" i="47"/>
  <c r="B18" i="47"/>
  <c r="B19" i="47"/>
  <c r="B20" i="47"/>
  <c r="B21" i="47"/>
  <c r="B22" i="47"/>
  <c r="B23" i="47"/>
  <c r="B24" i="47"/>
  <c r="B25" i="47"/>
  <c r="B26" i="47"/>
  <c r="B27" i="47"/>
  <c r="B28" i="47"/>
  <c r="B5" i="47"/>
  <c r="A6" i="47"/>
  <c r="H6" i="47" s="1"/>
  <c r="A7" i="47"/>
  <c r="A8" i="47"/>
  <c r="H8" i="47" s="1"/>
  <c r="A9" i="47"/>
  <c r="H9" i="47" s="1"/>
  <c r="A10" i="47"/>
  <c r="A11" i="47"/>
  <c r="H11" i="47" s="1"/>
  <c r="A12" i="47"/>
  <c r="H12" i="47" s="1"/>
  <c r="A13" i="47"/>
  <c r="H13" i="47" s="1"/>
  <c r="A14" i="47"/>
  <c r="H14" i="47" s="1"/>
  <c r="A15" i="47"/>
  <c r="H15" i="47" s="1"/>
  <c r="A16" i="47"/>
  <c r="H16" i="47" s="1"/>
  <c r="A17" i="47"/>
  <c r="H17" i="47" s="1"/>
  <c r="A18" i="47"/>
  <c r="A19" i="47"/>
  <c r="H19" i="47" s="1"/>
  <c r="A20" i="47"/>
  <c r="H20" i="47" s="1"/>
  <c r="A21" i="47"/>
  <c r="H21" i="47" s="1"/>
  <c r="A22" i="47"/>
  <c r="A23" i="47"/>
  <c r="H23" i="47" s="1"/>
  <c r="A24" i="47"/>
  <c r="H24" i="47" s="1"/>
  <c r="A25" i="47"/>
  <c r="H25" i="47" s="1"/>
  <c r="A26" i="47"/>
  <c r="H26" i="47" s="1"/>
  <c r="A27" i="47"/>
  <c r="H27" i="47" s="1"/>
  <c r="A28" i="47"/>
  <c r="H28" i="47" s="1"/>
  <c r="A5" i="47"/>
  <c r="H22" i="47"/>
  <c r="H7" i="47"/>
  <c r="D5" i="47"/>
  <c r="C5" i="47"/>
  <c r="G6" i="46"/>
  <c r="I26" i="43"/>
  <c r="G26" i="43"/>
  <c r="E26" i="43"/>
  <c r="C26" i="43"/>
  <c r="K25" i="43"/>
  <c r="K24" i="43"/>
  <c r="K23" i="43"/>
  <c r="H34" i="49" s="1"/>
  <c r="K22" i="43"/>
  <c r="H33" i="49" s="1"/>
  <c r="J19" i="43"/>
  <c r="I19" i="43"/>
  <c r="H19" i="43"/>
  <c r="G19" i="43"/>
  <c r="F19" i="43"/>
  <c r="E19" i="43"/>
  <c r="D19" i="43"/>
  <c r="L19" i="43" s="1"/>
  <c r="C19" i="43"/>
  <c r="L18" i="43"/>
  <c r="F15" i="44" s="1"/>
  <c r="K18" i="43"/>
  <c r="E15" i="44" s="1"/>
  <c r="L17" i="43"/>
  <c r="F14" i="44" s="1"/>
  <c r="K17" i="43"/>
  <c r="E14" i="44" s="1"/>
  <c r="L16" i="43"/>
  <c r="F13" i="44" s="1"/>
  <c r="K16" i="43"/>
  <c r="E13" i="44" s="1"/>
  <c r="L15" i="43"/>
  <c r="F12" i="44" s="1"/>
  <c r="K15" i="43"/>
  <c r="E12" i="44" s="1"/>
  <c r="J12" i="44" s="1"/>
  <c r="L14" i="43"/>
  <c r="F11" i="44" s="1"/>
  <c r="K14" i="43"/>
  <c r="E11" i="44" s="1"/>
  <c r="L13" i="43"/>
  <c r="F10" i="44" s="1"/>
  <c r="K13" i="43"/>
  <c r="E10" i="44" s="1"/>
  <c r="L12" i="43"/>
  <c r="F9" i="44" s="1"/>
  <c r="K12" i="43"/>
  <c r="E9" i="44" s="1"/>
  <c r="L11" i="43"/>
  <c r="F8" i="44" s="1"/>
  <c r="L10" i="43"/>
  <c r="F7" i="44" s="1"/>
  <c r="K10" i="43"/>
  <c r="E7" i="44" s="1"/>
  <c r="L9" i="43"/>
  <c r="F6" i="44" s="1"/>
  <c r="K9" i="43"/>
  <c r="E6" i="44" s="1"/>
  <c r="J11" i="44" l="1"/>
  <c r="J7" i="44"/>
  <c r="J13" i="44"/>
  <c r="B26" i="53"/>
  <c r="E8" i="44"/>
  <c r="E16" i="44" s="1"/>
  <c r="H53" i="49" s="1"/>
  <c r="J14" i="44"/>
  <c r="J9" i="44"/>
  <c r="J15" i="44"/>
  <c r="J10" i="44"/>
  <c r="F16" i="44"/>
  <c r="D51" i="49"/>
  <c r="K19" i="43"/>
  <c r="H18" i="47"/>
  <c r="H10" i="47"/>
  <c r="B29" i="47"/>
  <c r="K29" i="47" s="1"/>
  <c r="E20" i="53" s="1"/>
  <c r="H5" i="47"/>
  <c r="H29" i="47" s="1"/>
  <c r="A98" i="41"/>
  <c r="B97" i="41"/>
  <c r="C97" i="41" s="1"/>
  <c r="D47" i="49"/>
  <c r="K26" i="43"/>
  <c r="H37" i="49" s="1"/>
  <c r="B20" i="53" l="1"/>
  <c r="C20" i="53"/>
  <c r="J6" i="44"/>
  <c r="J8" i="44"/>
  <c r="B98" i="41"/>
  <c r="C98" i="41" s="1"/>
  <c r="A99" i="41"/>
  <c r="C19" i="10"/>
  <c r="J16" i="44" l="1"/>
  <c r="D50" i="49"/>
  <c r="A100" i="41"/>
  <c r="B99" i="41"/>
  <c r="C99" i="41" s="1"/>
  <c r="K23" i="37"/>
  <c r="D36" i="49" s="1"/>
  <c r="H54" i="49" s="1"/>
  <c r="K24" i="37"/>
  <c r="E10" i="10" s="1"/>
  <c r="K25" i="37"/>
  <c r="E11" i="10" s="1"/>
  <c r="K22" i="37"/>
  <c r="I26" i="37"/>
  <c r="G26" i="37"/>
  <c r="E26" i="37"/>
  <c r="C26" i="37"/>
  <c r="D19" i="37"/>
  <c r="E19" i="37"/>
  <c r="F19" i="37"/>
  <c r="G19" i="37"/>
  <c r="H19" i="37"/>
  <c r="I19" i="37"/>
  <c r="J19" i="37"/>
  <c r="C19" i="37"/>
  <c r="K10" i="37"/>
  <c r="L10" i="37"/>
  <c r="K11" i="37"/>
  <c r="L11" i="37"/>
  <c r="K12" i="37"/>
  <c r="L12" i="37"/>
  <c r="K13" i="37"/>
  <c r="L13" i="37"/>
  <c r="K14" i="37"/>
  <c r="L14" i="37"/>
  <c r="K15" i="37"/>
  <c r="L15" i="37"/>
  <c r="K16" i="37"/>
  <c r="L16" i="37"/>
  <c r="K17" i="37"/>
  <c r="L17" i="37"/>
  <c r="K18" i="37"/>
  <c r="L18" i="37"/>
  <c r="L9" i="37"/>
  <c r="K9" i="37"/>
  <c r="A101" i="41" l="1"/>
  <c r="B100" i="41"/>
  <c r="C100" i="41" s="1"/>
  <c r="L19" i="37"/>
  <c r="K19" i="37"/>
  <c r="K26" i="37"/>
  <c r="C6" i="25"/>
  <c r="J26" i="19"/>
  <c r="J25" i="19"/>
  <c r="J24" i="19"/>
  <c r="H7" i="13"/>
  <c r="G7" i="45" s="1"/>
  <c r="H8" i="13"/>
  <c r="G8" i="45" s="1"/>
  <c r="H9" i="13"/>
  <c r="G9" i="45" s="1"/>
  <c r="H10" i="13"/>
  <c r="G10" i="45" s="1"/>
  <c r="H11" i="13"/>
  <c r="G11" i="45" s="1"/>
  <c r="H12" i="13"/>
  <c r="G12" i="45" s="1"/>
  <c r="H13" i="13"/>
  <c r="G13" i="45" s="1"/>
  <c r="H14" i="13"/>
  <c r="G14" i="45" s="1"/>
  <c r="H6" i="13"/>
  <c r="G6" i="45" s="1"/>
  <c r="D19" i="10"/>
  <c r="C16" i="11"/>
  <c r="A102" i="41" l="1"/>
  <c r="B101" i="41"/>
  <c r="C101" i="41" s="1"/>
  <c r="G28" i="36"/>
  <c r="F28" i="36"/>
  <c r="E28" i="36"/>
  <c r="E29" i="36" s="1"/>
  <c r="E30" i="36" s="1"/>
  <c r="A103" i="41" l="1"/>
  <c r="B102" i="41"/>
  <c r="C102" i="41" s="1"/>
  <c r="L28" i="36"/>
  <c r="K28" i="36"/>
  <c r="J28" i="36"/>
  <c r="D28" i="36"/>
  <c r="C28" i="36"/>
  <c r="B28" i="36"/>
  <c r="H29" i="32"/>
  <c r="H30" i="32" s="1"/>
  <c r="H29" i="34"/>
  <c r="H30" i="34" s="1"/>
  <c r="P28" i="34"/>
  <c r="O28" i="34"/>
  <c r="N28" i="34"/>
  <c r="M28" i="34"/>
  <c r="L28" i="34"/>
  <c r="K28" i="34"/>
  <c r="D28" i="34"/>
  <c r="C28" i="34"/>
  <c r="B28" i="34"/>
  <c r="H29" i="33"/>
  <c r="H30" i="33" s="1"/>
  <c r="P28" i="33"/>
  <c r="O28" i="33"/>
  <c r="N28" i="33"/>
  <c r="M28" i="33"/>
  <c r="L28" i="33"/>
  <c r="K28" i="33"/>
  <c r="D28" i="33"/>
  <c r="C28" i="33"/>
  <c r="B28" i="33"/>
  <c r="C28" i="32"/>
  <c r="D28" i="32"/>
  <c r="B29" i="32" s="1"/>
  <c r="B30" i="32" s="1"/>
  <c r="K28" i="32"/>
  <c r="L28" i="32"/>
  <c r="M28" i="32"/>
  <c r="N28" i="32"/>
  <c r="O28" i="32"/>
  <c r="P28" i="32"/>
  <c r="B28" i="32"/>
  <c r="K29" i="33" l="1"/>
  <c r="K30" i="33" s="1"/>
  <c r="N29" i="32"/>
  <c r="N30" i="32" s="1"/>
  <c r="K29" i="32"/>
  <c r="K30" i="32" s="1"/>
  <c r="A104" i="41"/>
  <c r="B103" i="41"/>
  <c r="C103" i="41" s="1"/>
  <c r="J29" i="36"/>
  <c r="J30" i="36" s="1"/>
  <c r="B29" i="36"/>
  <c r="B30" i="36" s="1"/>
  <c r="N29" i="34"/>
  <c r="N30" i="34" s="1"/>
  <c r="K29" i="34"/>
  <c r="K30" i="34" s="1"/>
  <c r="B29" i="34"/>
  <c r="B30" i="34" s="1"/>
  <c r="N29" i="33"/>
  <c r="N30" i="33" s="1"/>
  <c r="B29" i="33"/>
  <c r="B30" i="33" s="1"/>
  <c r="C17" i="25"/>
  <c r="C5" i="24"/>
  <c r="G9" i="12"/>
  <c r="G10" i="12"/>
  <c r="G11" i="12"/>
  <c r="A105" i="41" l="1"/>
  <c r="B104" i="41"/>
  <c r="C104" i="41" s="1"/>
  <c r="K28" i="19"/>
  <c r="K29" i="19"/>
  <c r="K26" i="19"/>
  <c r="K27" i="19"/>
  <c r="P23" i="19"/>
  <c r="P24" i="19"/>
  <c r="P25" i="19"/>
  <c r="P22" i="19"/>
  <c r="O23" i="19"/>
  <c r="O24" i="19"/>
  <c r="O25" i="19"/>
  <c r="O22" i="19"/>
  <c r="K21" i="19"/>
  <c r="K20" i="19"/>
  <c r="K19" i="19"/>
  <c r="K18" i="19"/>
  <c r="K17" i="19"/>
  <c r="K16" i="19"/>
  <c r="K15" i="19"/>
  <c r="K14" i="19"/>
  <c r="K13" i="19"/>
  <c r="K11" i="19"/>
  <c r="K10" i="19"/>
  <c r="K9" i="19"/>
  <c r="K8" i="19"/>
  <c r="K7" i="19"/>
  <c r="B4" i="19"/>
  <c r="A106" i="41" l="1"/>
  <c r="B105" i="41"/>
  <c r="C105" i="41" s="1"/>
  <c r="E6" i="18"/>
  <c r="E7" i="18"/>
  <c r="E8" i="18"/>
  <c r="E9" i="18"/>
  <c r="E10" i="18"/>
  <c r="E11" i="18"/>
  <c r="E12" i="18"/>
  <c r="E13" i="18"/>
  <c r="E14" i="18"/>
  <c r="E15" i="18"/>
  <c r="E16" i="18"/>
  <c r="E17" i="18"/>
  <c r="E18" i="18"/>
  <c r="E19" i="18"/>
  <c r="E20" i="18"/>
  <c r="E21" i="18"/>
  <c r="E22" i="18"/>
  <c r="E23" i="18"/>
  <c r="E24" i="18"/>
  <c r="E25" i="18"/>
  <c r="E26" i="18"/>
  <c r="E27" i="18"/>
  <c r="E28" i="18"/>
  <c r="E5" i="18"/>
  <c r="E6" i="16"/>
  <c r="E6" i="47" s="1"/>
  <c r="E7" i="16"/>
  <c r="E7" i="47" s="1"/>
  <c r="E8" i="16"/>
  <c r="E8" i="47" s="1"/>
  <c r="E9" i="16"/>
  <c r="E9" i="47" s="1"/>
  <c r="E10" i="16"/>
  <c r="E10" i="47" s="1"/>
  <c r="E11" i="16"/>
  <c r="E11" i="47" s="1"/>
  <c r="E12" i="16"/>
  <c r="E12" i="47" s="1"/>
  <c r="E13" i="16"/>
  <c r="E13" i="47" s="1"/>
  <c r="E14" i="16"/>
  <c r="E14" i="47" s="1"/>
  <c r="E15" i="16"/>
  <c r="E15" i="47" s="1"/>
  <c r="E16" i="16"/>
  <c r="E16" i="47" s="1"/>
  <c r="E17" i="16"/>
  <c r="E17" i="47" s="1"/>
  <c r="E18" i="16"/>
  <c r="E18" i="47" s="1"/>
  <c r="E19" i="16"/>
  <c r="E19" i="47" s="1"/>
  <c r="E20" i="16"/>
  <c r="E20" i="47" s="1"/>
  <c r="E21" i="16"/>
  <c r="E21" i="47" s="1"/>
  <c r="E22" i="16"/>
  <c r="E22" i="47" s="1"/>
  <c r="E23" i="16"/>
  <c r="E23" i="47" s="1"/>
  <c r="E24" i="16"/>
  <c r="E24" i="47" s="1"/>
  <c r="E25" i="16"/>
  <c r="E25" i="47" s="1"/>
  <c r="E26" i="16"/>
  <c r="E26" i="47" s="1"/>
  <c r="E27" i="16"/>
  <c r="E27" i="47" s="1"/>
  <c r="E28" i="16"/>
  <c r="E28" i="47" s="1"/>
  <c r="E5" i="16"/>
  <c r="E5" i="47" s="1"/>
  <c r="E22" i="15"/>
  <c r="E21" i="15"/>
  <c r="E20" i="15"/>
  <c r="E19" i="15"/>
  <c r="E18" i="15"/>
  <c r="E17" i="15"/>
  <c r="E10" i="15"/>
  <c r="E5" i="46" s="1"/>
  <c r="E11" i="15"/>
  <c r="E6" i="46" s="1"/>
  <c r="E12" i="15"/>
  <c r="E7" i="46" s="1"/>
  <c r="E13" i="15"/>
  <c r="E8" i="46" s="1"/>
  <c r="E14" i="15"/>
  <c r="E9" i="46" s="1"/>
  <c r="E15" i="15"/>
  <c r="E10" i="46" s="1"/>
  <c r="E16" i="15"/>
  <c r="E11" i="46" s="1"/>
  <c r="E9" i="15"/>
  <c r="E4" i="46" s="1"/>
  <c r="E7" i="15"/>
  <c r="E5" i="15"/>
  <c r="F7" i="13"/>
  <c r="E7" i="45" s="1"/>
  <c r="G7" i="13"/>
  <c r="F7" i="45" s="1"/>
  <c r="F8" i="13"/>
  <c r="E8" i="45" s="1"/>
  <c r="G8" i="13"/>
  <c r="F8" i="45" s="1"/>
  <c r="F9" i="13"/>
  <c r="E9" i="45" s="1"/>
  <c r="G9" i="13"/>
  <c r="F9" i="45" s="1"/>
  <c r="F10" i="13"/>
  <c r="E10" i="45" s="1"/>
  <c r="G10" i="13"/>
  <c r="F10" i="45" s="1"/>
  <c r="F11" i="13"/>
  <c r="E11" i="45" s="1"/>
  <c r="G11" i="13"/>
  <c r="F11" i="45" s="1"/>
  <c r="F12" i="13"/>
  <c r="E12" i="45" s="1"/>
  <c r="G12" i="13"/>
  <c r="F12" i="45" s="1"/>
  <c r="F14" i="13"/>
  <c r="E14" i="45" s="1"/>
  <c r="G14" i="13"/>
  <c r="F14" i="45" s="1"/>
  <c r="G13" i="13"/>
  <c r="F13" i="45" s="1"/>
  <c r="F13" i="13"/>
  <c r="E13" i="45" s="1"/>
  <c r="G6" i="13"/>
  <c r="F6" i="45" s="1"/>
  <c r="F6" i="13"/>
  <c r="E6" i="45" s="1"/>
  <c r="E29" i="47" l="1"/>
  <c r="A107" i="41"/>
  <c r="B106" i="41"/>
  <c r="C106" i="41" s="1"/>
  <c r="E10" i="22"/>
  <c r="F10" i="22"/>
  <c r="G10" i="22"/>
  <c r="H10" i="22"/>
  <c r="D10" i="22"/>
  <c r="J4" i="22"/>
  <c r="K4" i="22"/>
  <c r="L4" i="22"/>
  <c r="M4" i="22"/>
  <c r="J11" i="22"/>
  <c r="K11" i="22"/>
  <c r="L11" i="22"/>
  <c r="M11" i="22"/>
  <c r="J16" i="22"/>
  <c r="K16" i="22"/>
  <c r="L16" i="22"/>
  <c r="M16" i="22"/>
  <c r="J21" i="22"/>
  <c r="K21" i="22"/>
  <c r="L21" i="22"/>
  <c r="M21" i="22"/>
  <c r="J24" i="22"/>
  <c r="K24" i="22"/>
  <c r="L24" i="22"/>
  <c r="M24" i="22"/>
  <c r="I24" i="22"/>
  <c r="I21" i="22"/>
  <c r="I16" i="22"/>
  <c r="I11" i="22"/>
  <c r="I4" i="22"/>
  <c r="E14" i="22"/>
  <c r="F14" i="22"/>
  <c r="G14" i="22"/>
  <c r="H14" i="22"/>
  <c r="E15" i="22"/>
  <c r="F15" i="22"/>
  <c r="G15" i="22"/>
  <c r="H15" i="22"/>
  <c r="E18" i="22"/>
  <c r="F18" i="22"/>
  <c r="G18" i="22"/>
  <c r="H18" i="22"/>
  <c r="E19" i="22"/>
  <c r="F19" i="22"/>
  <c r="G19" i="22"/>
  <c r="H19" i="22"/>
  <c r="E20" i="22"/>
  <c r="F20" i="22"/>
  <c r="G20" i="22"/>
  <c r="H20" i="22"/>
  <c r="E22" i="22"/>
  <c r="F22" i="22"/>
  <c r="G22" i="22"/>
  <c r="H22" i="22"/>
  <c r="E23" i="22"/>
  <c r="F23" i="22"/>
  <c r="G23" i="22"/>
  <c r="H23" i="22"/>
  <c r="D23" i="22"/>
  <c r="D22" i="22"/>
  <c r="D20" i="22"/>
  <c r="D19" i="22"/>
  <c r="D18" i="22"/>
  <c r="E12" i="22"/>
  <c r="F12" i="22"/>
  <c r="G12" i="22"/>
  <c r="H12" i="22"/>
  <c r="D15" i="22"/>
  <c r="D14" i="22"/>
  <c r="D12" i="22"/>
  <c r="E6" i="22"/>
  <c r="F6" i="22"/>
  <c r="G6" i="22"/>
  <c r="H6" i="22"/>
  <c r="E7" i="22"/>
  <c r="F7" i="22"/>
  <c r="G7" i="22"/>
  <c r="H7" i="22"/>
  <c r="E8" i="22"/>
  <c r="F8" i="22"/>
  <c r="G8" i="22"/>
  <c r="H8" i="22"/>
  <c r="E9" i="22"/>
  <c r="F9" i="22"/>
  <c r="G9" i="22"/>
  <c r="H9" i="22"/>
  <c r="D9" i="22"/>
  <c r="D8" i="22"/>
  <c r="D7" i="22"/>
  <c r="D6" i="22"/>
  <c r="O17" i="22"/>
  <c r="O13" i="22"/>
  <c r="O5" i="22"/>
  <c r="D4" i="22"/>
  <c r="O3" i="22"/>
  <c r="N3" i="22"/>
  <c r="A108" i="41" l="1"/>
  <c r="B107" i="41"/>
  <c r="C107" i="41" s="1"/>
  <c r="C17" i="10"/>
  <c r="A109" i="41" l="1"/>
  <c r="B108" i="41"/>
  <c r="C108" i="41" s="1"/>
  <c r="J15" i="12"/>
  <c r="G15" i="12"/>
  <c r="A110" i="41" l="1"/>
  <c r="B109" i="41"/>
  <c r="C109" i="41" s="1"/>
  <c r="H16" i="11"/>
  <c r="E16" i="11"/>
  <c r="J11" i="12"/>
  <c r="J10" i="12"/>
  <c r="J9" i="12"/>
  <c r="J8" i="12"/>
  <c r="I12" i="12"/>
  <c r="H12" i="12"/>
  <c r="E12" i="12"/>
  <c r="G16" i="11"/>
  <c r="F10" i="55" s="1"/>
  <c r="F16" i="11"/>
  <c r="D10" i="55" s="1"/>
  <c r="D16" i="11"/>
  <c r="G12" i="10"/>
  <c r="E12" i="10"/>
  <c r="D42" i="49" s="1"/>
  <c r="D14" i="23"/>
  <c r="D27" i="23" s="1"/>
  <c r="C27" i="23"/>
  <c r="I8" i="11" l="1"/>
  <c r="I14" i="11"/>
  <c r="I12" i="11"/>
  <c r="J8" i="11"/>
  <c r="J15" i="11"/>
  <c r="J13" i="11"/>
  <c r="J12" i="11"/>
  <c r="I15" i="11"/>
  <c r="I13" i="11"/>
  <c r="I11" i="11"/>
  <c r="J14" i="11"/>
  <c r="J11" i="11"/>
  <c r="I9" i="11"/>
  <c r="J9" i="11"/>
  <c r="I7" i="11"/>
  <c r="J7" i="11"/>
  <c r="A111" i="41"/>
  <c r="B110" i="41"/>
  <c r="C110" i="41" s="1"/>
  <c r="D20" i="10"/>
  <c r="D21" i="10" s="1"/>
  <c r="D43" i="49"/>
  <c r="J10" i="11"/>
  <c r="I10" i="11"/>
  <c r="J17" i="11"/>
  <c r="G17" i="11" s="1"/>
  <c r="J6" i="11"/>
  <c r="I6" i="11"/>
  <c r="J16" i="11"/>
  <c r="I16" i="11"/>
  <c r="C20" i="10"/>
  <c r="C18" i="10" s="1"/>
  <c r="D18" i="10"/>
  <c r="H12" i="10"/>
  <c r="J12" i="12"/>
  <c r="D21" i="49" s="1"/>
  <c r="B111" i="41" l="1"/>
  <c r="C111" i="41" s="1"/>
  <c r="D44" i="49"/>
  <c r="H38" i="49"/>
  <c r="H39" i="49" s="1"/>
  <c r="H48" i="49" s="1"/>
  <c r="C21" i="10"/>
  <c r="I12" i="10" s="1"/>
  <c r="D6" i="23"/>
  <c r="E6" i="56" s="1"/>
  <c r="D5" i="23"/>
  <c r="E5" i="56" s="1"/>
  <c r="D8" i="23" l="1"/>
  <c r="E8" i="56" s="1"/>
  <c r="E17" i="53" s="1"/>
  <c r="B17" i="53" s="1"/>
  <c r="L28" i="19"/>
  <c r="L27" i="19"/>
  <c r="R23" i="19"/>
  <c r="R24" i="19"/>
  <c r="R25" i="19"/>
  <c r="R22" i="19"/>
  <c r="Q25" i="19"/>
  <c r="Q24" i="19"/>
  <c r="Q23" i="19"/>
  <c r="Q22" i="19"/>
  <c r="J28" i="19"/>
  <c r="K30" i="19"/>
  <c r="K12" i="19"/>
  <c r="J15" i="19"/>
  <c r="J16" i="19"/>
  <c r="J17" i="19"/>
  <c r="J19" i="19"/>
  <c r="J20" i="19"/>
  <c r="J21" i="19"/>
  <c r="J8" i="19"/>
  <c r="J9" i="19"/>
  <c r="J10" i="19"/>
  <c r="J11" i="19"/>
  <c r="J12" i="19"/>
  <c r="J13" i="19"/>
  <c r="J14" i="19"/>
  <c r="J7" i="19"/>
  <c r="J30" i="19"/>
  <c r="J29" i="19"/>
  <c r="J27" i="19"/>
  <c r="C3" i="19"/>
  <c r="H29" i="18"/>
  <c r="B29" i="18"/>
  <c r="H29" i="16"/>
  <c r="B29" i="16"/>
  <c r="E29" i="16" s="1"/>
  <c r="J23" i="19" l="1"/>
  <c r="J22" i="19"/>
  <c r="E29" i="18"/>
  <c r="C5" i="23"/>
  <c r="C5" i="56" s="1"/>
  <c r="D5" i="56" s="1"/>
  <c r="L25" i="19"/>
  <c r="L24" i="19"/>
  <c r="L22" i="19"/>
  <c r="L23" i="19"/>
  <c r="K22" i="19"/>
  <c r="K24" i="19"/>
  <c r="K23" i="19"/>
  <c r="K25" i="19"/>
  <c r="C6" i="23" l="1"/>
  <c r="C6" i="56" s="1"/>
  <c r="D6" i="56" s="1"/>
  <c r="C7" i="23" l="1"/>
  <c r="F12" i="12"/>
  <c r="G12" i="12" s="1"/>
  <c r="G8" i="12"/>
  <c r="C8" i="23" l="1"/>
  <c r="C8" i="56" s="1"/>
  <c r="C7" i="56"/>
  <c r="D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Stanley</author>
  </authors>
  <commentList>
    <comment ref="D21" authorId="0" shapeId="0" xr:uid="{00000000-0006-0000-0B00-000001000000}">
      <text>
        <r>
          <rPr>
            <sz val="9"/>
            <color indexed="81"/>
            <rFont val="Tahoma"/>
            <family val="2"/>
          </rPr>
          <t xml:space="preserve">Should be within 3% of gross building area
</t>
        </r>
      </text>
    </comment>
    <comment ref="D22" authorId="0" shapeId="0" xr:uid="{00000000-0006-0000-0B00-000002000000}">
      <text>
        <r>
          <rPr>
            <b/>
            <sz val="9"/>
            <color indexed="81"/>
            <rFont val="Tahoma"/>
            <family val="2"/>
          </rPr>
          <t>Matches LV-B area</t>
        </r>
      </text>
    </comment>
    <comment ref="D23" authorId="0" shapeId="0" xr:uid="{00000000-0006-0000-0B00-000003000000}">
      <text>
        <r>
          <rPr>
            <sz val="9"/>
            <color indexed="81"/>
            <rFont val="Tahoma"/>
            <family val="2"/>
          </rPr>
          <t>Includes area of zones that are required for modeling, but do not contribute to actual floor area, such as plenums</t>
        </r>
      </text>
    </comment>
    <comment ref="D24" authorId="0" shapeId="0" xr:uid="{00000000-0006-0000-0B00-000004000000}">
      <text>
        <r>
          <rPr>
            <sz val="9"/>
            <color indexed="81"/>
            <rFont val="Tahoma"/>
            <family val="2"/>
          </rPr>
          <t xml:space="preserve">Should be within 1% of gross building area
</t>
        </r>
      </text>
    </comment>
    <comment ref="D25" authorId="0" shapeId="0" xr:uid="{00000000-0006-0000-0B00-000005000000}">
      <text>
        <r>
          <rPr>
            <sz val="9"/>
            <color indexed="81"/>
            <rFont val="Tahoma"/>
            <family val="2"/>
          </rPr>
          <t>Includes unconditioned areas, such as shafts, that contribute to floor area</t>
        </r>
      </text>
    </comment>
    <comment ref="D53" authorId="0" shapeId="0" xr:uid="{00000000-0006-0000-0B00-000006000000}">
      <text>
        <r>
          <rPr>
            <b/>
            <sz val="9"/>
            <color indexed="81"/>
            <rFont val="Tahoma"/>
            <family val="2"/>
          </rPr>
          <t>Valid for buildings with electricity and natural gas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Buildings</author>
  </authors>
  <commentList>
    <comment ref="E7" authorId="0" shapeId="0" xr:uid="{00000000-0006-0000-1A00-000001000000}">
      <text>
        <r>
          <rPr>
            <b/>
            <sz val="9"/>
            <color indexed="81"/>
            <rFont val="Tahoma"/>
            <family val="2"/>
          </rPr>
          <t>Department of Buildings:</t>
        </r>
        <r>
          <rPr>
            <sz val="9"/>
            <color indexed="81"/>
            <rFont val="Tahoma"/>
            <family val="2"/>
          </rPr>
          <t xml:space="preserve">
Input data on sheet 4a to populate baseline data</t>
        </r>
      </text>
    </comment>
  </commentList>
</comments>
</file>

<file path=xl/sharedStrings.xml><?xml version="1.0" encoding="utf-8"?>
<sst xmlns="http://schemas.openxmlformats.org/spreadsheetml/2006/main" count="3104" uniqueCount="1033">
  <si>
    <t>Model Input Parameter</t>
  </si>
  <si>
    <t>Description</t>
  </si>
  <si>
    <t>Units</t>
  </si>
  <si>
    <t>System Designation(s)</t>
  </si>
  <si>
    <t xml:space="preserve">Total Cooling Capacity </t>
  </si>
  <si>
    <t>*Table 6.8.1 Unitary Cooling Capacity Range</t>
  </si>
  <si>
    <t xml:space="preserve">Total Heating Capacity </t>
  </si>
  <si>
    <t>*Table 6.8.1 Unitary Heating Capacity Range</t>
  </si>
  <si>
    <t xml:space="preserve">*Unitary Heating Efficiency </t>
  </si>
  <si>
    <t>*Fan Control</t>
  </si>
  <si>
    <t xml:space="preserve">Supply Airflow </t>
  </si>
  <si>
    <t>cfm</t>
  </si>
  <si>
    <t>Outdoor Airflow</t>
  </si>
  <si>
    <t>*Demand Control Ventilation</t>
  </si>
  <si>
    <t>*Economizer High-Limit Shutoff (°F)</t>
  </si>
  <si>
    <t>Supply Fan Power</t>
  </si>
  <si>
    <t>kW</t>
  </si>
  <si>
    <t xml:space="preserve">Return/Relief Fan Power </t>
  </si>
  <si>
    <t>Exhaust Fan Power</t>
  </si>
  <si>
    <t>System Fan Power</t>
  </si>
  <si>
    <t>Allowed Fan Power:</t>
  </si>
  <si>
    <t>Supporting Doc. Location</t>
  </si>
  <si>
    <t>Exhaust Air Energy Recovery Systems</t>
  </si>
  <si>
    <t>Baseline Case</t>
  </si>
  <si>
    <t>Proposed Case</t>
  </si>
  <si>
    <t>Total Chiller Capacity</t>
  </si>
  <si>
    <t>tons</t>
  </si>
  <si>
    <t>Chiller Efficiency - Full Load</t>
  </si>
  <si>
    <t>Chiller Efficiency - Part Load</t>
  </si>
  <si>
    <t>Chilled Water (CHW) Supply Temp</t>
  </si>
  <si>
    <t>°F</t>
  </si>
  <si>
    <t>CHW Supply Temp Reset Parameters</t>
  </si>
  <si>
    <t>CHW Loop Configuration</t>
  </si>
  <si>
    <t>#</t>
  </si>
  <si>
    <t>gpm</t>
  </si>
  <si>
    <t>Water-Side Economizer</t>
  </si>
  <si>
    <t>Water-Side Energy Recovery</t>
  </si>
  <si>
    <t>Cooling Tower Fan Power</t>
  </si>
  <si>
    <t>Cooling Tower Fan Control</t>
  </si>
  <si>
    <t>Condenser Water (CW) Leaving Temp</t>
  </si>
  <si>
    <t>CW ΔT</t>
  </si>
  <si>
    <t>CW Loop Temp Reset Parameters</t>
  </si>
  <si>
    <t>Number of CW Pumps</t>
  </si>
  <si>
    <t>CW Pump Power</t>
  </si>
  <si>
    <t>CW Pump Flow</t>
  </si>
  <si>
    <t>CW Pump Control</t>
  </si>
  <si>
    <t>Number and Type of Boilers</t>
  </si>
  <si>
    <t>Total Boiler Capacity</t>
  </si>
  <si>
    <t>Boiler Efficiency</t>
  </si>
  <si>
    <t>Hot Water or Steam (HHW) Supply Temp</t>
  </si>
  <si>
    <t>HHW ΔT</t>
  </si>
  <si>
    <t>HHW Temp Reset Parameters</t>
  </si>
  <si>
    <t>HHW Loop Configuration</t>
  </si>
  <si>
    <t>*Exhaust Air Energy Recovery Effectiveness</t>
  </si>
  <si>
    <t>Total</t>
  </si>
  <si>
    <t>Electrical/Mechanical</t>
  </si>
  <si>
    <t>Workshop</t>
  </si>
  <si>
    <t>Gymnasium/Exercise Center-Playing Area</t>
  </si>
  <si>
    <t>Tradable Surfaces</t>
  </si>
  <si>
    <t>Drive-throughs</t>
  </si>
  <si>
    <t>Area Type</t>
  </si>
  <si>
    <t>Area Parameters</t>
  </si>
  <si>
    <t>Uncovered parking areas and drives</t>
  </si>
  <si>
    <t>Total area of uncovered parking and drive areas (sq.ft):</t>
  </si>
  <si>
    <t>Walkways less than 10' wide</t>
  </si>
  <si>
    <t>Walkways &gt;= 10' wide</t>
  </si>
  <si>
    <t>Plaza areas</t>
  </si>
  <si>
    <t>Special feature areas</t>
  </si>
  <si>
    <t>Stairways</t>
  </si>
  <si>
    <t>Pedestrian tunnels</t>
  </si>
  <si>
    <t>Area of landscaping (sq.ft):</t>
  </si>
  <si>
    <t>Primary building entrances</t>
  </si>
  <si>
    <t>Other entrances/exits</t>
  </si>
  <si>
    <t>Entry canopies</t>
  </si>
  <si>
    <t>Area of canopies at entrances or exits (sq.ft):</t>
  </si>
  <si>
    <t>Sales canopies</t>
  </si>
  <si>
    <t>Area of canopies over sales functions (sq.ft):</t>
  </si>
  <si>
    <t>Outdoor sales areas</t>
  </si>
  <si>
    <t>Area of sales functions (sq.ft):</t>
  </si>
  <si>
    <t>Street frontage for vehicle sales</t>
  </si>
  <si>
    <t>Total length of street frontage for vehicle sales (ft):</t>
  </si>
  <si>
    <t>Non Tradable Surfaces</t>
  </si>
  <si>
    <t>Building façades</t>
  </si>
  <si>
    <t>Total # of ATMs:</t>
  </si>
  <si>
    <t>Area of uncovered entrances and gatehouse inspection areas at guarded facilities (sq.ft):</t>
  </si>
  <si>
    <t>Area of uncovered loading areas for emergency service vehicles (sq.ft):</t>
  </si>
  <si>
    <t># of drive-throughs:</t>
  </si>
  <si>
    <t>Parking near 24-hour retail entrances (main only)</t>
  </si>
  <si>
    <t># of main entrances:</t>
  </si>
  <si>
    <t>Air-Side HVAC Systems</t>
  </si>
  <si>
    <t>Cooling Tower &amp; Condenser Water</t>
  </si>
  <si>
    <t xml:space="preserve">Chilled Water  </t>
  </si>
  <si>
    <t>System Type &amp; Fuel</t>
  </si>
  <si>
    <t>Input Rating</t>
  </si>
  <si>
    <t>Efficiency</t>
  </si>
  <si>
    <t>Storage Volume</t>
  </si>
  <si>
    <t>Gal</t>
  </si>
  <si>
    <t>Storage Temperature</t>
  </si>
  <si>
    <t>Peak HW Demand</t>
  </si>
  <si>
    <t>GPM</t>
  </si>
  <si>
    <t>Number of Primary DHW pumps</t>
  </si>
  <si>
    <t>Primary DHW Pump Power</t>
  </si>
  <si>
    <t>Primary DHW Pump Control</t>
  </si>
  <si>
    <t>C5 and C6 districts</t>
  </si>
  <si>
    <t>Above-Grade Wall &amp; Vertical Glazing Area by Orientation</t>
  </si>
  <si>
    <t>Orientation</t>
  </si>
  <si>
    <t>Vertical Glazing Area</t>
  </si>
  <si>
    <t>(%)</t>
  </si>
  <si>
    <t>North</t>
  </si>
  <si>
    <t>East</t>
  </si>
  <si>
    <t>South</t>
  </si>
  <si>
    <t>West</t>
  </si>
  <si>
    <t>Roof &amp; Skylight Area</t>
  </si>
  <si>
    <t>Skylight Area</t>
  </si>
  <si>
    <t>SHGC</t>
  </si>
  <si>
    <t>VLT</t>
  </si>
  <si>
    <t>Shading Devices</t>
  </si>
  <si>
    <t>List any permanent or auto-controlled shading devices:</t>
  </si>
  <si>
    <t>Baseline Watts</t>
  </si>
  <si>
    <t>Purchased Energy Rates</t>
  </si>
  <si>
    <t>Fuel</t>
  </si>
  <si>
    <t>Virtual Utility Rate ($/unit)</t>
  </si>
  <si>
    <t>Baseline Design</t>
  </si>
  <si>
    <t>Model Output Report</t>
  </si>
  <si>
    <t>Electric</t>
  </si>
  <si>
    <t>Gas</t>
  </si>
  <si>
    <t>Steam</t>
  </si>
  <si>
    <t>Other:</t>
  </si>
  <si>
    <t>TOTAL</t>
  </si>
  <si>
    <t>Energy Modeling Usage Summary</t>
  </si>
  <si>
    <t>Baseline Model</t>
  </si>
  <si>
    <t>Proposed Model</t>
  </si>
  <si>
    <t>Electric Usage (kwh)</t>
  </si>
  <si>
    <t>Model Output Location (Report)</t>
  </si>
  <si>
    <t>Interior Lighting</t>
  </si>
  <si>
    <t>Misc. Equip.</t>
  </si>
  <si>
    <t>Space Heat</t>
  </si>
  <si>
    <t>Space Cool</t>
  </si>
  <si>
    <t>Heat Rejection</t>
  </si>
  <si>
    <t>Pumps &amp; Misc</t>
  </si>
  <si>
    <t>Vent Fans</t>
  </si>
  <si>
    <t>Dom. Hot Water</t>
  </si>
  <si>
    <t>Exterior Lighting</t>
  </si>
  <si>
    <t>Exterior Misc.</t>
  </si>
  <si>
    <t>Above-Grade Wall &amp; Fenestration Areas</t>
  </si>
  <si>
    <t>Vertical Fenestration</t>
  </si>
  <si>
    <t>Category (Res/Non-Res)</t>
  </si>
  <si>
    <t>Item #</t>
  </si>
  <si>
    <t>Description (from design)</t>
  </si>
  <si>
    <t>Non-Residential</t>
  </si>
  <si>
    <t>Residential</t>
  </si>
  <si>
    <t>Nonmetal framing (all)</t>
  </si>
  <si>
    <t>Metal framing (entrance door)</t>
  </si>
  <si>
    <t>U-0.50</t>
  </si>
  <si>
    <t>U-factor</t>
  </si>
  <si>
    <t xml:space="preserve">Vertical  </t>
  </si>
  <si>
    <t>Skylight</t>
  </si>
  <si>
    <t>Description
(from ASHRAE)</t>
  </si>
  <si>
    <t>Supporting Doc Location</t>
  </si>
  <si>
    <t>Assembly U-factor/ C-factor/ F-factor</t>
  </si>
  <si>
    <t>Roof Construction</t>
  </si>
  <si>
    <t>Solar Reflectance</t>
  </si>
  <si>
    <t>SR =</t>
  </si>
  <si>
    <t>Above-Grade Exterior Wall Construction</t>
  </si>
  <si>
    <t>Below-Grade Exterior Wall Construction</t>
  </si>
  <si>
    <t>Exposed Floor Construction</t>
  </si>
  <si>
    <t> Slab-On-Grade Floors</t>
  </si>
  <si>
    <t>Opaque Doors</t>
  </si>
  <si>
    <t xml:space="preserve">Space-Conditioning Category </t>
  </si>
  <si>
    <t>Insulation Entirely Above Deck</t>
  </si>
  <si>
    <t>Metal Building</t>
  </si>
  <si>
    <t>Attic and Other</t>
  </si>
  <si>
    <t>Mass</t>
  </si>
  <si>
    <t>Steel-Framed</t>
  </si>
  <si>
    <t>Wood-Framed and Other</t>
  </si>
  <si>
    <t>Below-Grade Wall</t>
  </si>
  <si>
    <t>Steel-Joist</t>
  </si>
  <si>
    <t>Unheated</t>
  </si>
  <si>
    <t>Heated</t>
  </si>
  <si>
    <t>Swinging</t>
  </si>
  <si>
    <t>Nonswinging</t>
  </si>
  <si>
    <t>U-0.104</t>
  </si>
  <si>
    <t>U-0.064</t>
  </si>
  <si>
    <t>U-0.089</t>
  </si>
  <si>
    <t>C-1.140</t>
  </si>
  <si>
    <t>U-0.038</t>
  </si>
  <si>
    <t>U-0.033</t>
  </si>
  <si>
    <t>U-0.700</t>
  </si>
  <si>
    <t>U-0.500</t>
  </si>
  <si>
    <t>U-0.090</t>
  </si>
  <si>
    <t>C-0.119</t>
  </si>
  <si>
    <t>U-0.58</t>
  </si>
  <si>
    <t>U-0.124</t>
  </si>
  <si>
    <t>F-0.7300</t>
  </si>
  <si>
    <t>U-1.450</t>
  </si>
  <si>
    <t>Semiheated</t>
  </si>
  <si>
    <t>U-factor/ C-factor/ F-factor</t>
  </si>
  <si>
    <t>Space Type (Table 9.6.1) or Building Area Type (Table 9.5.1)</t>
  </si>
  <si>
    <t>Auto. Controls (Yes/No)</t>
  </si>
  <si>
    <t>Daylight Ctrls (Yes/No)</t>
  </si>
  <si>
    <t>Modeled LPD</t>
  </si>
  <si>
    <t>(W/ft2)</t>
  </si>
  <si>
    <t>Yes</t>
  </si>
  <si>
    <t>No</t>
  </si>
  <si>
    <t>Building Area Method Categories</t>
  </si>
  <si>
    <t>Table 9.5.1 LPD (W/sf)</t>
  </si>
  <si>
    <t>Space by Space Categories</t>
  </si>
  <si>
    <t>Table 9.6.1 LPD (W/sf)</t>
  </si>
  <si>
    <t>Automotive facility</t>
  </si>
  <si>
    <t>Convention center</t>
  </si>
  <si>
    <t>Courthouse</t>
  </si>
  <si>
    <t>Dining: bar lounge/leisure</t>
  </si>
  <si>
    <t>Dining: cafeteria/fast food</t>
  </si>
  <si>
    <t>Dining: family</t>
  </si>
  <si>
    <t>Dormitory</t>
  </si>
  <si>
    <t>Exercise center</t>
  </si>
  <si>
    <t>Gymnasium</t>
  </si>
  <si>
    <t>Health-care clinic</t>
  </si>
  <si>
    <t>Hospital</t>
  </si>
  <si>
    <t>Library</t>
  </si>
  <si>
    <t>Manufacturing facility</t>
  </si>
  <si>
    <t>Motion picture theater</t>
  </si>
  <si>
    <t>Multifamily</t>
  </si>
  <si>
    <t>Museum</t>
  </si>
  <si>
    <t>Office</t>
  </si>
  <si>
    <t>Parking garage</t>
  </si>
  <si>
    <t>Penitentiary</t>
  </si>
  <si>
    <t>Performing arts theater</t>
  </si>
  <si>
    <t>Post office</t>
  </si>
  <si>
    <t>Religious building</t>
  </si>
  <si>
    <t>Retail</t>
  </si>
  <si>
    <t>School/university</t>
  </si>
  <si>
    <t>Sports arena</t>
  </si>
  <si>
    <t>Town hall</t>
  </si>
  <si>
    <t>Transportation</t>
  </si>
  <si>
    <t>Warehouse</t>
  </si>
  <si>
    <t>Sales Area</t>
  </si>
  <si>
    <t>Courtroom</t>
  </si>
  <si>
    <t>Confinement Cells</t>
  </si>
  <si>
    <t>Post Office-Sorting Area</t>
  </si>
  <si>
    <t>Convention Center-Exhibit Space</t>
  </si>
  <si>
    <t>Manufacturing-Detailed Manufacturing</t>
  </si>
  <si>
    <t>Manufacturing-Equipment Room</t>
  </si>
  <si>
    <t>Museum-General Exhibition</t>
  </si>
  <si>
    <t>Museum-Restoration</t>
  </si>
  <si>
    <t>Religious Buildings-Worship Pulpit, Choir</t>
  </si>
  <si>
    <t>Religious Buildings-Fellowship Hall</t>
  </si>
  <si>
    <t>Retail-Mall Concourse</t>
  </si>
  <si>
    <t>Fire station</t>
  </si>
  <si>
    <t>Police station</t>
  </si>
  <si>
    <t>Atrium - first 40ft in height</t>
  </si>
  <si>
    <t>Atrium - height above 40ft</t>
  </si>
  <si>
    <t>Audience/seating area - auditorium</t>
  </si>
  <si>
    <t>Audience/seating area - performing arts theater</t>
  </si>
  <si>
    <t>Audience/seating area - motion picture theater</t>
  </si>
  <si>
    <t>Conference/meeting/multipurpose</t>
  </si>
  <si>
    <t>Lobby - Elevator</t>
  </si>
  <si>
    <t>Lobby - Performing Arts Theater</t>
  </si>
  <si>
    <t>Lobby - Motion Picture Theater</t>
  </si>
  <si>
    <t>Locker Room</t>
  </si>
  <si>
    <t>Office - Open Plan</t>
  </si>
  <si>
    <t>Library - Reading Area</t>
  </si>
  <si>
    <t>Library - Stacks</t>
  </si>
  <si>
    <t>Manufacturing-Extra High Bay (&gt;50ft floor to ceiling ht)</t>
  </si>
  <si>
    <t>Manufacturing-High Bay (25-50ft floor to ceiling ht)</t>
  </si>
  <si>
    <t>Manufacturing-Low Bay (&lt;25ft floor to ceiling ht)</t>
  </si>
  <si>
    <t>Retail-Dressing/Fitting Room</t>
  </si>
  <si>
    <t>Sports Arena-Court Sports Area-Class 4</t>
  </si>
  <si>
    <t>Sports Arena-Court Sports Area-Class 3</t>
  </si>
  <si>
    <t>Sports Arena-Court Sports Area-Class 2</t>
  </si>
  <si>
    <t>Sports Arena-Court Sports Area-Class 1</t>
  </si>
  <si>
    <r>
      <t>Total Area  Space/Blg Type (ft</t>
    </r>
    <r>
      <rPr>
        <vertAlign val="superscript"/>
        <sz val="8"/>
        <rFont val="Calibri"/>
        <family val="2"/>
        <scheme val="minor"/>
      </rPr>
      <t>2</t>
    </r>
    <r>
      <rPr>
        <sz val="8"/>
        <rFont val="Calibri"/>
        <family val="2"/>
        <scheme val="minor"/>
      </rPr>
      <t>)</t>
    </r>
  </si>
  <si>
    <t>Exterior Lighting  Power</t>
  </si>
  <si>
    <t>Baseline Design (Watts)</t>
  </si>
  <si>
    <t>Proposed Design (Watts)</t>
  </si>
  <si>
    <t>Tradable Lighting Power</t>
  </si>
  <si>
    <t>Non-Tradable Lighting Power</t>
  </si>
  <si>
    <t>Total Lighting Power</t>
  </si>
  <si>
    <t>Unit Allowances</t>
  </si>
  <si>
    <t>Lighting Zone</t>
  </si>
  <si>
    <t>Base Site Allowance (watts)</t>
  </si>
  <si>
    <t>Undeveloped areas within national and state parks, forest land and rural areas and other undeveloped areas as approved by the AHJ</t>
  </si>
  <si>
    <t>YES</t>
  </si>
  <si>
    <t>NO</t>
  </si>
  <si>
    <t>Area Allowance (watts/sq.ft)</t>
  </si>
  <si>
    <t>Linear Allowance (watts/linear foot)</t>
  </si>
  <si>
    <t>Surface</t>
  </si>
  <si>
    <t>Surface Type</t>
  </si>
  <si>
    <t>Type</t>
  </si>
  <si>
    <t>LZ0</t>
  </si>
  <si>
    <t>LZ1</t>
  </si>
  <si>
    <t>LZ2</t>
  </si>
  <si>
    <t>LZ3</t>
  </si>
  <si>
    <t>LZ4</t>
  </si>
  <si>
    <t>Base Allowance</t>
  </si>
  <si>
    <t>Unit Allowance</t>
  </si>
  <si>
    <t>Surface2</t>
  </si>
  <si>
    <t>ATM or Night Depository</t>
  </si>
  <si>
    <t>Nontradable</t>
  </si>
  <si>
    <t>Tradable</t>
  </si>
  <si>
    <t>Building façade</t>
  </si>
  <si>
    <t>Drive-thrus</t>
  </si>
  <si>
    <t>Entrances and gatehouse inspection at guarded facilities (uncovered)</t>
  </si>
  <si>
    <t>Landscaping</t>
  </si>
  <si>
    <t>Loading area for emergency service vehicles (uncovered)</t>
  </si>
  <si>
    <t>Outdoor sales area</t>
  </si>
  <si>
    <t>Sales canopy</t>
  </si>
  <si>
    <t>Roadway/parking, entry, trailhead, toilet facility</t>
  </si>
  <si>
    <t>Uncovered parking areas and drive</t>
  </si>
  <si>
    <t>Park Land</t>
  </si>
  <si>
    <t>R districts, R districts with C overlays and MX districts</t>
  </si>
  <si>
    <t>M districts, except MX; C districts, except C5, C6 and C overlays on R</t>
  </si>
  <si>
    <t>Uncovered Parking Areas</t>
  </si>
  <si>
    <t>Building Grounds</t>
  </si>
  <si>
    <t>Area of walkways greater than 10' wide</t>
  </si>
  <si>
    <t xml:space="preserve">Length of walkways less than 10' wide </t>
  </si>
  <si>
    <t>Special feature areas (sqft)</t>
  </si>
  <si>
    <t>Plaza areas (sqft)</t>
  </si>
  <si>
    <t>Area of stairways (sqft)</t>
  </si>
  <si>
    <t>Area of pedestrian tunnels (sqft)</t>
  </si>
  <si>
    <t>Total door width of primary entrances (ft):</t>
  </si>
  <si>
    <t>Total door width of other entrances &amp; exits (ft):</t>
  </si>
  <si>
    <t>Building Entrances &amp; Exits</t>
  </si>
  <si>
    <t>W/SF</t>
  </si>
  <si>
    <t>W/FT</t>
  </si>
  <si>
    <t>Watts/drive thru</t>
  </si>
  <si>
    <t>Watts/entrance</t>
  </si>
  <si>
    <t>Proposed Watts</t>
  </si>
  <si>
    <t>ATMs</t>
  </si>
  <si>
    <t>Guarded facility entrances</t>
  </si>
  <si>
    <t>Emergency Vehicle Loading Area</t>
  </si>
  <si>
    <t>Service Hot Water Systems</t>
  </si>
  <si>
    <t>Proposed Design</t>
  </si>
  <si>
    <t>kBtu/h</t>
  </si>
  <si>
    <t>EF</t>
  </si>
  <si>
    <t>SL</t>
  </si>
  <si>
    <r>
      <t>E</t>
    </r>
    <r>
      <rPr>
        <vertAlign val="subscript"/>
        <sz val="11"/>
        <color theme="1"/>
        <rFont val="Calibri"/>
        <family val="2"/>
        <scheme val="minor"/>
      </rPr>
      <t>t</t>
    </r>
  </si>
  <si>
    <t>COP</t>
  </si>
  <si>
    <t>Et</t>
  </si>
  <si>
    <t>f</t>
  </si>
  <si>
    <t>Process/Receptacle Equipment</t>
  </si>
  <si>
    <t>Space Type (or Equipment Type)</t>
  </si>
  <si>
    <t>Space Area (or # Equip.)</t>
  </si>
  <si>
    <t>Equipment Power Density (W/SF) or (Equip Demand)</t>
  </si>
  <si>
    <t>Baseline Modeled Identically? (Yes/No)</t>
  </si>
  <si>
    <t>SQFT</t>
  </si>
  <si>
    <t>Utility Rate Provider/Rate Structure (i.e ConEd)</t>
  </si>
  <si>
    <t>Baseline Design
Total Charge ($)</t>
  </si>
  <si>
    <t>Proposed Design Total Charge ($)</t>
  </si>
  <si>
    <t>Other Usage (i.e. chilled water)
(indicate units)</t>
  </si>
  <si>
    <t xml:space="preserve">System Description </t>
  </si>
  <si>
    <t># of Similar Systems</t>
  </si>
  <si>
    <t xml:space="preserve">*Unitary Cooling Part-load Eff. (if applicable) </t>
  </si>
  <si>
    <t>Other (describe)</t>
  </si>
  <si>
    <t>*Unitary Cooling Eff. (EER or SEER)</t>
  </si>
  <si>
    <t>kBTU/h</t>
  </si>
  <si>
    <t>Btuh</t>
  </si>
  <si>
    <t>EER</t>
  </si>
  <si>
    <t>SEER</t>
  </si>
  <si>
    <t>Ec</t>
  </si>
  <si>
    <t>AFUE</t>
  </si>
  <si>
    <t>HSPF</t>
  </si>
  <si>
    <t>IEER</t>
  </si>
  <si>
    <t>Constant Volume</t>
  </si>
  <si>
    <t>CHW ΔT</t>
  </si>
  <si>
    <t>Number of Primary CHW Pumps</t>
  </si>
  <si>
    <t>Primary CHW Pump Power</t>
  </si>
  <si>
    <t>Primary CHW Pump Flow</t>
  </si>
  <si>
    <t>Primary CHW Pump Control</t>
  </si>
  <si>
    <t>Number of Secondary CHW Pumps</t>
  </si>
  <si>
    <t>Secondary CHW Pump Power</t>
  </si>
  <si>
    <t>Secondary CHW Pump Flow</t>
  </si>
  <si>
    <t>Secondary CHW Pump Control</t>
  </si>
  <si>
    <t># and Type of Chillers (and capacity of chiller if more than 1 type or size)</t>
  </si>
  <si>
    <t>HVAC System / Group (BASELINE DESIGN)</t>
  </si>
  <si>
    <t>HVAC System / Group (PROPOSED DESIGN)</t>
  </si>
  <si>
    <t>Number of Cooling Towers/Fluid Coolers</t>
  </si>
  <si>
    <t>Hot Water or Steam</t>
  </si>
  <si>
    <t>Number of Primary HHW Pumps</t>
  </si>
  <si>
    <t>Primary HHW Pump Power</t>
  </si>
  <si>
    <t>Primary HHW Pump Flow</t>
  </si>
  <si>
    <t>Primary HHW Pump Control</t>
  </si>
  <si>
    <t>Number of Secondary HHW Pumps</t>
  </si>
  <si>
    <t>Secondary HHW Pump Power</t>
  </si>
  <si>
    <t>Secondary HHW Pump Flow</t>
  </si>
  <si>
    <t>Secondary HHW Pump Control</t>
  </si>
  <si>
    <t>Type of Geothermal system</t>
  </si>
  <si>
    <t>Soil Conductivity (if applicable)</t>
  </si>
  <si>
    <t>Geothermal source design temperature - summer</t>
  </si>
  <si>
    <t>Geothermal source design temperature - winter</t>
  </si>
  <si>
    <t>Geoexchange loop design fluid supply temperature - cooling</t>
  </si>
  <si>
    <t>Geoexchange loop design fluid supply temperature -heating</t>
  </si>
  <si>
    <t>Geoexchange loop - operating temperature</t>
  </si>
  <si>
    <t>Geothermal energy transfer effect</t>
  </si>
  <si>
    <t>Geothermal Loop Pumping Configuration</t>
  </si>
  <si>
    <t>Number of Geothermal Loop Pumps</t>
  </si>
  <si>
    <t>Geothermal Loop Pump Control</t>
  </si>
  <si>
    <t xml:space="preserve">Geothermal Pump Power </t>
  </si>
  <si>
    <t>Geothermal Loop Flow</t>
  </si>
  <si>
    <t>Geothermal Air-side Efficiency curves</t>
  </si>
  <si>
    <t>W/gpm</t>
  </si>
  <si>
    <t>NA</t>
  </si>
  <si>
    <t>CHP: Type of generator</t>
  </si>
  <si>
    <t>Quantity of CHP generators</t>
  </si>
  <si>
    <t>Total capacity of CHP generators (kW) at design conditions</t>
  </si>
  <si>
    <t>CHP: Thermal efficiency (%) at design conditions</t>
  </si>
  <si>
    <t>CHP: Electrical efficiency (%) at design conditions</t>
  </si>
  <si>
    <t>CHP: Controls / Schedule</t>
  </si>
  <si>
    <t>CHP: Fuel Source</t>
  </si>
  <si>
    <t>CHP: Where is the recovered heat used? (e.g. gas absorption chillers, hot water distribution loop, etc.)</t>
  </si>
  <si>
    <t>CHP: Backup heat source when waste heat from CHP is unavailable? (e.g. fossil fuel boilers)</t>
  </si>
  <si>
    <t>CHP: Parasitic losses (e.g. air handling unit to cool the intake air)</t>
  </si>
  <si>
    <t>%</t>
  </si>
  <si>
    <t>Combined  Heat &amp; Power Systems</t>
  </si>
  <si>
    <t>Length or Area (FT or SQFT)</t>
  </si>
  <si>
    <t>Length of façade #1 (ft)</t>
  </si>
  <si>
    <t>Length of façade #2 (ft)</t>
  </si>
  <si>
    <t>Length of façade #3 (ft)</t>
  </si>
  <si>
    <t>Length of façade #4 (ft)</t>
  </si>
  <si>
    <t>Area of façade #1 (sqft)</t>
  </si>
  <si>
    <t>Area of façade #2 (sqft)</t>
  </si>
  <si>
    <t>Area of façade #3 (sqft)</t>
  </si>
  <si>
    <t>Area of façade #4 (sqft)</t>
  </si>
  <si>
    <t># of Locations:</t>
  </si>
  <si>
    <r>
      <t>Window + Wall Area (ft</t>
    </r>
    <r>
      <rPr>
        <vertAlign val="superscript"/>
        <sz val="8"/>
        <rFont val="Arial"/>
        <family val="2"/>
      </rPr>
      <t>2</t>
    </r>
    <r>
      <rPr>
        <sz val="8"/>
        <rFont val="Arial"/>
        <family val="2"/>
      </rPr>
      <t>)</t>
    </r>
  </si>
  <si>
    <r>
      <t>(ft</t>
    </r>
    <r>
      <rPr>
        <vertAlign val="superscript"/>
        <sz val="8"/>
        <rFont val="Arial"/>
        <family val="2"/>
      </rPr>
      <t>2</t>
    </r>
    <r>
      <rPr>
        <sz val="8"/>
        <rFont val="Arial"/>
        <family val="2"/>
      </rPr>
      <t>)</t>
    </r>
  </si>
  <si>
    <r>
      <t>Roof + Skylight Area (ft</t>
    </r>
    <r>
      <rPr>
        <vertAlign val="superscript"/>
        <sz val="8"/>
        <rFont val="Arial"/>
        <family val="2"/>
      </rPr>
      <t>2</t>
    </r>
    <r>
      <rPr>
        <sz val="8"/>
        <rFont val="Arial"/>
        <family val="2"/>
      </rPr>
      <t>)</t>
    </r>
  </si>
  <si>
    <t>☐No shading projections, manual shading devices, or self-shading have been modeled.</t>
  </si>
  <si>
    <t>☐Any shading by adjacent structures has been modeled identically to the proposed case.</t>
  </si>
  <si>
    <t>Modeling Parameters/
Schedule</t>
  </si>
  <si>
    <t xml:space="preserve"> Description</t>
  </si>
  <si>
    <t>Geothermal Systems</t>
  </si>
  <si>
    <t>NR</t>
  </si>
  <si>
    <t>WORKBOOK COLOR LEGEND</t>
  </si>
  <si>
    <t>Do not edit:  information</t>
  </si>
  <si>
    <t>Do not edit:  formulas</t>
  </si>
  <si>
    <t>User edit:  drop-down menu</t>
  </si>
  <si>
    <t>User edit:  fill in box</t>
  </si>
  <si>
    <t>* Use the tab labeled "Ext. LPD Calculator" to automatically fill in the table above</t>
  </si>
  <si>
    <t>Performance Cost Index</t>
  </si>
  <si>
    <t>Performance Cost Index - Appendix G ONLY</t>
  </si>
  <si>
    <t>4A</t>
  </si>
  <si>
    <t>Baseline Unregulated Cost</t>
  </si>
  <si>
    <t>Baseline Regulated Cost</t>
  </si>
  <si>
    <t>Building Performance Factor</t>
  </si>
  <si>
    <t>Proposed Building</t>
  </si>
  <si>
    <t>Total Energy Cost</t>
  </si>
  <si>
    <t>Baseline Building</t>
  </si>
  <si>
    <t>Healthcare/hospital</t>
  </si>
  <si>
    <t>Hotel/motel</t>
  </si>
  <si>
    <t>Restaurant</t>
  </si>
  <si>
    <t>School</t>
  </si>
  <si>
    <t>All Other</t>
  </si>
  <si>
    <t>U-0.35</t>
  </si>
  <si>
    <t>U-0.51</t>
  </si>
  <si>
    <t>Metal framing (fixed)</t>
  </si>
  <si>
    <t>U-0.42</t>
  </si>
  <si>
    <t>U-0.73</t>
  </si>
  <si>
    <t>Metal framing (operable)</t>
  </si>
  <si>
    <t>U-0.81</t>
  </si>
  <si>
    <t>U-0.77</t>
  </si>
  <si>
    <t>U-0.68</t>
  </si>
  <si>
    <t>U-1.15</t>
  </si>
  <si>
    <t>U-0.032</t>
  </si>
  <si>
    <t>U-0.093</t>
  </si>
  <si>
    <t>U-0.037</t>
  </si>
  <si>
    <t>U-0.082</t>
  </si>
  <si>
    <t>U-0.021</t>
  </si>
  <si>
    <t>U-0.034</t>
  </si>
  <si>
    <t>U-0.060</t>
  </si>
  <si>
    <t>U-0.050</t>
  </si>
  <si>
    <t>U-0.162</t>
  </si>
  <si>
    <t>C-0.092</t>
  </si>
  <si>
    <t>U-0.057</t>
  </si>
  <si>
    <t>U-0.051</t>
  </si>
  <si>
    <t>U-0.107</t>
  </si>
  <si>
    <t>U-0.052</t>
  </si>
  <si>
    <t>F-0.520</t>
  </si>
  <si>
    <t>F-0.843</t>
  </si>
  <si>
    <t>F-0.688</t>
  </si>
  <si>
    <t>F-0.900</t>
  </si>
  <si>
    <t>% of above-grade wall</t>
  </si>
  <si>
    <t>Hotel/Motel</t>
  </si>
  <si>
    <t>Audience/seating area - convention center</t>
  </si>
  <si>
    <t>Audience/seating area - gymnasium</t>
  </si>
  <si>
    <t>Audience/seating area - penitentiary</t>
  </si>
  <si>
    <t>Audience/seating area - religious building</t>
  </si>
  <si>
    <t>Audience/seating area - sports arena</t>
  </si>
  <si>
    <t>Audience/seating area - all other</t>
  </si>
  <si>
    <t>Banking Activity Area</t>
  </si>
  <si>
    <t>Classroom/lecture/training - penitentiary</t>
  </si>
  <si>
    <t>Copy/Print Room</t>
  </si>
  <si>
    <t>Corridor - facility for visually impaired</t>
  </si>
  <si>
    <t>Corridor - hospital</t>
  </si>
  <si>
    <t>Corridor - manufacturing facility</t>
  </si>
  <si>
    <t>Corridor - all other</t>
  </si>
  <si>
    <t>Computer Room</t>
  </si>
  <si>
    <t>Dining Area - penitentiary</t>
  </si>
  <si>
    <t>Dining Area - facility for visually impaired</t>
  </si>
  <si>
    <t>Dining Area - Bar Lounge/Leisure Dining</t>
  </si>
  <si>
    <t>Dining Area - cafeteria/fast food</t>
  </si>
  <si>
    <t>Dining Area - Family Dining</t>
  </si>
  <si>
    <t>Dining Area - all other</t>
  </si>
  <si>
    <t>Emergency Vehicle Garage</t>
  </si>
  <si>
    <t>Food Preparation Area</t>
  </si>
  <si>
    <t>Guest Room</t>
  </si>
  <si>
    <t>Laboratory - in or as a classroom</t>
  </si>
  <si>
    <t>Laboratory - other</t>
  </si>
  <si>
    <t>Laundry/Washing Area</t>
  </si>
  <si>
    <t>Loading Dock, Interior</t>
  </si>
  <si>
    <t>Lobby - Hotel</t>
  </si>
  <si>
    <t>Lobby - all other</t>
  </si>
  <si>
    <t>Lobby - facility for visually impaired</t>
  </si>
  <si>
    <t>Lounge/Breakroom - healthcare facility</t>
  </si>
  <si>
    <t>Lounge/Breakroom - all other</t>
  </si>
  <si>
    <r>
      <t xml:space="preserve">Office - Enclosed and </t>
    </r>
    <r>
      <rPr>
        <u/>
        <sz val="10"/>
        <rFont val="Calibri"/>
        <family val="2"/>
        <scheme val="minor"/>
      </rPr>
      <t>&lt;</t>
    </r>
    <r>
      <rPr>
        <sz val="10"/>
        <rFont val="Calibri"/>
        <family val="2"/>
        <scheme val="minor"/>
      </rPr>
      <t xml:space="preserve"> 250 sqft</t>
    </r>
  </si>
  <si>
    <t>Office - Enclosed and &gt; 250 sqft</t>
  </si>
  <si>
    <t>Parking Area, Interior</t>
  </si>
  <si>
    <t>Pharmacy Area</t>
  </si>
  <si>
    <t>Restroom - visually impaired</t>
  </si>
  <si>
    <t>Restroom - all other</t>
  </si>
  <si>
    <t>Seating Area, General</t>
  </si>
  <si>
    <t>Stairwell</t>
  </si>
  <si>
    <t>Storage room &lt; 50 sqft</t>
  </si>
  <si>
    <r>
      <t xml:space="preserve">Storage room </t>
    </r>
    <r>
      <rPr>
        <u/>
        <sz val="10"/>
        <rFont val="Calibri"/>
        <family val="2"/>
        <scheme val="minor"/>
      </rPr>
      <t xml:space="preserve">&lt; </t>
    </r>
    <r>
      <rPr>
        <sz val="10"/>
        <rFont val="Calibri"/>
        <family val="2"/>
        <scheme val="minor"/>
      </rPr>
      <t>50 sqft and &lt; 1000 sqft</t>
    </r>
  </si>
  <si>
    <t>Storage room - all other</t>
  </si>
  <si>
    <t>Vehicular Maintenance Area</t>
  </si>
  <si>
    <t>Facility for Visually Impaired - in a chapel</t>
  </si>
  <si>
    <t>Facility for Visually Impaired - in a rec room/common living rm</t>
  </si>
  <si>
    <t>Automotive</t>
  </si>
  <si>
    <t>Dormitory - living quarters</t>
  </si>
  <si>
    <t>Fire station - sleeping quarters</t>
  </si>
  <si>
    <t>Gymnasium/Fitness Center - exercise area</t>
  </si>
  <si>
    <t>Healthcare facility - exam treatment room</t>
  </si>
  <si>
    <t>Healthcare facility - imaging room</t>
  </si>
  <si>
    <t>Healthcare facility - medical supply room</t>
  </si>
  <si>
    <t>Healthcare facility - nursery</t>
  </si>
  <si>
    <t>Healthcare facility - nurse's station</t>
  </si>
  <si>
    <t>Healthcare facility - Operating Room</t>
  </si>
  <si>
    <t>Healthcare facility - Patient Room</t>
  </si>
  <si>
    <t>Healthcare facility - Physical Therapy</t>
  </si>
  <si>
    <t>Healthcare facility - Recovery</t>
  </si>
  <si>
    <t>Performing Arts Theater - dressing room</t>
  </si>
  <si>
    <t>Transportation facility - baggage/carousel area</t>
  </si>
  <si>
    <t>Transportation facility - airport concourse</t>
  </si>
  <si>
    <t>Transportation facility - terminal ticket counter</t>
  </si>
  <si>
    <t>Warehouse storage - medium to bulky, palletized items</t>
  </si>
  <si>
    <t>Warehouse storage - smaller, hand-carried items</t>
  </si>
  <si>
    <t>Loading docks</t>
  </si>
  <si>
    <t>Loading Docks (sq.ft):</t>
  </si>
  <si>
    <t>VAV</t>
  </si>
  <si>
    <t>Single- or two-speed fan</t>
  </si>
  <si>
    <t>Single-speed fan</t>
  </si>
  <si>
    <t>Audience/seating area - exercise center</t>
  </si>
  <si>
    <t>Audience/seating area - transportation facility</t>
  </si>
  <si>
    <t>Classroom/lecture/training - all other</t>
  </si>
  <si>
    <t>Storage room - hospital</t>
  </si>
  <si>
    <t>Energy Modeling Protocol (select)</t>
  </si>
  <si>
    <t>Section 11 ECB</t>
  </si>
  <si>
    <t>Appendix G PRM</t>
  </si>
  <si>
    <t>5a</t>
  </si>
  <si>
    <t>Energy Related Design Features</t>
  </si>
  <si>
    <t>List energy related features that are included in the design and contribute to the energy savings in Section 5.</t>
  </si>
  <si>
    <t>U-0.57</t>
  </si>
  <si>
    <t>U-1.22</t>
  </si>
  <si>
    <t>Skylights</t>
  </si>
  <si>
    <t>0% - 2.0%</t>
  </si>
  <si>
    <t>2.1%+</t>
  </si>
  <si>
    <t>U-0.69</t>
  </si>
  <si>
    <t>U-1.36</t>
  </si>
  <si>
    <t>U-0.063</t>
  </si>
  <si>
    <t>U-0.218</t>
  </si>
  <si>
    <t>U-0.069</t>
  </si>
  <si>
    <t>F-0.730</t>
  </si>
  <si>
    <t>ERROR</t>
  </si>
  <si>
    <t>Base Site Allowance</t>
  </si>
  <si>
    <t>System 1: PTAC</t>
  </si>
  <si>
    <t>System 3: PSZ-AC</t>
  </si>
  <si>
    <t>System 5: Packaged VAV with Reheat</t>
  </si>
  <si>
    <t>System 7: VAV with reheat</t>
  </si>
  <si>
    <t>System 9: Heating and Ventilation</t>
  </si>
  <si>
    <t>System 12: Single-zone, CV-HW</t>
  </si>
  <si>
    <t>Public Assembly &lt; 120,000 ft2</t>
  </si>
  <si>
    <r>
      <t xml:space="preserve">Public Assembly </t>
    </r>
    <r>
      <rPr>
        <u/>
        <sz val="11"/>
        <color theme="1"/>
        <rFont val="Calibri"/>
        <family val="2"/>
        <scheme val="minor"/>
      </rPr>
      <t>&gt;</t>
    </r>
    <r>
      <rPr>
        <sz val="11"/>
        <color theme="1"/>
        <rFont val="Calibri"/>
        <family val="2"/>
        <scheme val="minor"/>
      </rPr>
      <t xml:space="preserve"> 120,000 ft2</t>
    </r>
  </si>
  <si>
    <t>Nonresidential - 4-5 floors and &lt; 25,000 ft2</t>
  </si>
  <si>
    <t>Nonresidential - &gt; 5 floors or &gt; 150,000 ft2</t>
  </si>
  <si>
    <t>Heated-only storage</t>
  </si>
  <si>
    <r>
      <t xml:space="preserve">Retail - </t>
    </r>
    <r>
      <rPr>
        <u/>
        <sz val="11"/>
        <color theme="1"/>
        <rFont val="Calibri"/>
        <family val="2"/>
        <scheme val="minor"/>
      </rPr>
      <t>&lt;</t>
    </r>
    <r>
      <rPr>
        <sz val="11"/>
        <color theme="1"/>
        <rFont val="Calibri"/>
        <family val="2"/>
        <scheme val="minor"/>
      </rPr>
      <t xml:space="preserve"> 2 floors</t>
    </r>
  </si>
  <si>
    <r>
      <t xml:space="preserve">Nonresidential - </t>
    </r>
    <r>
      <rPr>
        <u/>
        <sz val="11"/>
        <color theme="1"/>
        <rFont val="Calibri"/>
        <family val="2"/>
        <scheme val="minor"/>
      </rPr>
      <t>&lt;</t>
    </r>
    <r>
      <rPr>
        <sz val="11"/>
        <color theme="1"/>
        <rFont val="Calibri"/>
        <family val="2"/>
        <scheme val="minor"/>
      </rPr>
      <t xml:space="preserve"> 5 floors and 25,000 - 150,000 ft2</t>
    </r>
  </si>
  <si>
    <r>
      <t xml:space="preserve">Nonresidential - </t>
    </r>
    <r>
      <rPr>
        <u/>
        <sz val="11"/>
        <color theme="1"/>
        <rFont val="Calibri"/>
        <family val="2"/>
        <scheme val="minor"/>
      </rPr>
      <t>&lt;</t>
    </r>
    <r>
      <rPr>
        <sz val="11"/>
        <color theme="1"/>
        <rFont val="Calibri"/>
        <family val="2"/>
        <scheme val="minor"/>
      </rPr>
      <t xml:space="preserve"> 3 floors and &lt; 25,000 ft2</t>
    </r>
  </si>
  <si>
    <t>System 1: VAV with PFP boxes</t>
  </si>
  <si>
    <t>System 2: VAV with reheat</t>
  </si>
  <si>
    <t>System 3: Packaged VAV with PFP boxes</t>
  </si>
  <si>
    <t>System 4: Packaged VAV with reheat</t>
  </si>
  <si>
    <t>System 5: Two-pipe fan-coil</t>
  </si>
  <si>
    <t>System 6: Water-source HP</t>
  </si>
  <si>
    <t>System 7: Four-pipe fan-coil</t>
  </si>
  <si>
    <t>System 8: PTHP</t>
  </si>
  <si>
    <t>System 9: Packaged rooftop HP</t>
  </si>
  <si>
    <t>System 10: PTAC</t>
  </si>
  <si>
    <t>System 11: Packaged rooftop AC</t>
  </si>
  <si>
    <t>Grocery Store</t>
  </si>
  <si>
    <t>Healthcare (hospital)</t>
  </si>
  <si>
    <t>Hotel/motel (&lt; 75 rooms)</t>
  </si>
  <si>
    <t>Hotel/motel (&gt; 75 rooms)</t>
  </si>
  <si>
    <t>Office (&lt; 5000 ft2)</t>
  </si>
  <si>
    <t>Office (5000 - 50,000 ft2)</t>
  </si>
  <si>
    <t>Office (&gt; 50,000 ft2)</t>
  </si>
  <si>
    <t>Restaurant (quick service)</t>
  </si>
  <si>
    <t>Restaurant (full service)</t>
  </si>
  <si>
    <t>Retail (Stand alone)</t>
  </si>
  <si>
    <t>Retail ( strip mall)</t>
  </si>
  <si>
    <t>School (primary)</t>
  </si>
  <si>
    <t>School (secondary and university)</t>
  </si>
  <si>
    <t>Warehouse (nonrefrigerated)</t>
  </si>
  <si>
    <t>Other</t>
  </si>
  <si>
    <t>Gas Storage Water Heater</t>
  </si>
  <si>
    <t>All Others</t>
  </si>
  <si>
    <t>Electric Resistance Storage Water Heater</t>
  </si>
  <si>
    <t>Hour of Day (Time)</t>
  </si>
  <si>
    <t>Schedule for Occupancy</t>
  </si>
  <si>
    <t>Percent of Maximum  Load</t>
  </si>
  <si>
    <t>Wk</t>
  </si>
  <si>
    <t>Sat</t>
  </si>
  <si>
    <t>Sun</t>
  </si>
  <si>
    <t>Schedule for Lighting/Receptacle</t>
  </si>
  <si>
    <t>Schedule for HVAC System</t>
  </si>
  <si>
    <t>Schedule for Service Hot Water</t>
  </si>
  <si>
    <t>Schedule for Elevator</t>
  </si>
  <si>
    <t>1 (12-1am)</t>
  </si>
  <si>
    <t>2 (1-2am)</t>
  </si>
  <si>
    <t>3 (2-3am)</t>
  </si>
  <si>
    <t>4 (3-4am)</t>
  </si>
  <si>
    <t>5 (4-5am)</t>
  </si>
  <si>
    <t>6 (5-6am)</t>
  </si>
  <si>
    <t>7 (6-7am)</t>
  </si>
  <si>
    <t>8 (7-8am)</t>
  </si>
  <si>
    <t>9 (8-9am)</t>
  </si>
  <si>
    <t>10 (9-10am)</t>
  </si>
  <si>
    <t>11 (10-11am)</t>
  </si>
  <si>
    <t>12 (11-12pm)</t>
  </si>
  <si>
    <t>13 (12-1pm)</t>
  </si>
  <si>
    <t>14 (1-2pm)</t>
  </si>
  <si>
    <t>15 (2-3pm)</t>
  </si>
  <si>
    <t>16 (3-4pm)</t>
  </si>
  <si>
    <t>17 (4-5pm)</t>
  </si>
  <si>
    <t>18 (5-6pm)</t>
  </si>
  <si>
    <t>19 (6-7pm)</t>
  </si>
  <si>
    <t>20 (7-8pm)</t>
  </si>
  <si>
    <t>21 (8-9pm)</t>
  </si>
  <si>
    <t>22 (9-10pm)</t>
  </si>
  <si>
    <t>23 (10-11pm)</t>
  </si>
  <si>
    <t>24 (11-12am)</t>
  </si>
  <si>
    <t>35/40</t>
  </si>
  <si>
    <t>65/75</t>
  </si>
  <si>
    <t>40/50</t>
  </si>
  <si>
    <t>55/65</t>
  </si>
  <si>
    <t>Off</t>
  </si>
  <si>
    <t>On</t>
  </si>
  <si>
    <t>Total/Day</t>
  </si>
  <si>
    <t>Total/Week</t>
  </si>
  <si>
    <t>Total/Year</t>
  </si>
  <si>
    <t>1010/1155</t>
  </si>
  <si>
    <t>660/800</t>
  </si>
  <si>
    <t>745/845</t>
  </si>
  <si>
    <t>65/95</t>
  </si>
  <si>
    <t>55/80</t>
  </si>
  <si>
    <t>35/50</t>
  </si>
  <si>
    <t>800/1040</t>
  </si>
  <si>
    <t>44.00/56.00</t>
  </si>
  <si>
    <t>2288/2920</t>
  </si>
  <si>
    <t>64.55/74.2</t>
  </si>
  <si>
    <t>3357/3869</t>
  </si>
  <si>
    <t>55/60</t>
  </si>
  <si>
    <t>1060/1155</t>
  </si>
  <si>
    <t>85/90</t>
  </si>
  <si>
    <t>940/985</t>
  </si>
  <si>
    <t>500/525</t>
  </si>
  <si>
    <t>67.40/70.85</t>
  </si>
  <si>
    <t>3505/3694</t>
  </si>
  <si>
    <t>Daily Thermostat Schedule</t>
  </si>
  <si>
    <t>Cooling</t>
  </si>
  <si>
    <t>Heating</t>
  </si>
  <si>
    <t>COST SAVINGS</t>
  </si>
  <si>
    <t>COMPLIES?</t>
  </si>
  <si>
    <t>ES-D</t>
  </si>
  <si>
    <t>Gas/Steam Usage (Therm)</t>
  </si>
  <si>
    <t>Energy Savings Per End Use (%)</t>
  </si>
  <si>
    <t>Cost Savings per End Use (%)</t>
  </si>
  <si>
    <t>BEPU</t>
  </si>
  <si>
    <t xml:space="preserve">6a </t>
  </si>
  <si>
    <t>LV-D</t>
  </si>
  <si>
    <t>Do not edit:  error</t>
  </si>
  <si>
    <t>6b</t>
  </si>
  <si>
    <t>LV-D, LV-H</t>
  </si>
  <si>
    <t>6c</t>
  </si>
  <si>
    <t>LV-B</t>
  </si>
  <si>
    <t>Multifamily Dwelling Unit</t>
  </si>
  <si>
    <t>6e</t>
  </si>
  <si>
    <t>PS-E</t>
  </si>
  <si>
    <t>6g</t>
  </si>
  <si>
    <t>PV-A</t>
  </si>
  <si>
    <t>4a</t>
  </si>
  <si>
    <t xml:space="preserve">Baseline Rotations </t>
  </si>
  <si>
    <t>0'</t>
  </si>
  <si>
    <t>90'</t>
  </si>
  <si>
    <t>180'</t>
  </si>
  <si>
    <t>270'</t>
  </si>
  <si>
    <t>Average of 4 rotations</t>
  </si>
  <si>
    <t>Annual usage (kwh/therm)</t>
  </si>
  <si>
    <t>kwh</t>
  </si>
  <si>
    <t>therm</t>
  </si>
  <si>
    <t>Annual cost ($)</t>
  </si>
  <si>
    <r>
      <rPr>
        <b/>
        <sz val="11"/>
        <color theme="1"/>
        <rFont val="Calibri"/>
        <family val="2"/>
        <scheme val="minor"/>
      </rPr>
      <t>INSTRUCTIONS:</t>
    </r>
    <r>
      <rPr>
        <sz val="11"/>
        <color theme="1"/>
        <rFont val="Calibri"/>
        <family val="2"/>
        <scheme val="minor"/>
      </rPr>
      <t xml:space="preserve">  If the modeling parameters call for averaging 4 rotations, enter the data into each of the white columns.  If the modeling protocol does not require averaging the 4 rotations, enter the data into only the column labeled "0'" (do not enter '0' into the columns labeled 90, 180, 270).</t>
    </r>
  </si>
  <si>
    <t xml:space="preserve">            Must be typewritten</t>
  </si>
  <si>
    <t>Location Information</t>
  </si>
  <si>
    <t>House No(s)</t>
  </si>
  <si>
    <t>Street Name</t>
  </si>
  <si>
    <t>Borough</t>
  </si>
  <si>
    <t>Block</t>
  </si>
  <si>
    <t>Lot</t>
  </si>
  <si>
    <t>BIN</t>
  </si>
  <si>
    <t>CB No.</t>
  </si>
  <si>
    <t>Work on Floor(s)</t>
  </si>
  <si>
    <t>Apt/Condos No(s)</t>
  </si>
  <si>
    <t>Applicant Information</t>
  </si>
  <si>
    <t>Last Name</t>
  </si>
  <si>
    <t>First Name</t>
  </si>
  <si>
    <t>Middle Initial</t>
  </si>
  <si>
    <t>Business Name</t>
  </si>
  <si>
    <t>Business Telephone</t>
  </si>
  <si>
    <t>Business Address</t>
  </si>
  <si>
    <t>Business Fax</t>
  </si>
  <si>
    <t xml:space="preserve">City  </t>
  </si>
  <si>
    <t>State</t>
  </si>
  <si>
    <t xml:space="preserve">Zip  </t>
  </si>
  <si>
    <t xml:space="preserve">Mobile Telephone  </t>
  </si>
  <si>
    <t xml:space="preserve">Email </t>
  </si>
  <si>
    <t>License Number</t>
  </si>
  <si>
    <t>Energy Modeling Information</t>
  </si>
  <si>
    <t>Weather File</t>
  </si>
  <si>
    <t>Baseline Unmet Load Hours</t>
  </si>
  <si>
    <t>Baseline Site EUI (kBTU/SF)</t>
  </si>
  <si>
    <t>Modeling Software &amp; version</t>
  </si>
  <si>
    <t>Conditioned SQFT</t>
  </si>
  <si>
    <t>Modeled Square Feet</t>
  </si>
  <si>
    <t>Proposed Unmet Load Hours</t>
  </si>
  <si>
    <t>Proposed Site EUI (kBtu/sf)</t>
  </si>
  <si>
    <t>Enter information for sections 1, 2 and 3 - incorporate in the drawing set.</t>
  </si>
  <si>
    <t>Reduced lighting power density</t>
  </si>
  <si>
    <t>Condensing boilers operate at minimum 89% average efficiency</t>
  </si>
  <si>
    <t>Air-cooled chiller with superior part load</t>
  </si>
  <si>
    <t>U-0.40</t>
  </si>
  <si>
    <t>Metal framing (Curtainwall/Storefront)</t>
  </si>
  <si>
    <t>Metal framing (all other)</t>
  </si>
  <si>
    <t>U-0.55</t>
  </si>
  <si>
    <t>U-0.85</t>
  </si>
  <si>
    <t>U-0.048</t>
  </si>
  <si>
    <t>U-0.087</t>
  </si>
  <si>
    <t>F-0.860</t>
  </si>
  <si>
    <t>U-0.7</t>
  </si>
  <si>
    <t>U-1.500</t>
  </si>
  <si>
    <t>System 6: Packaged VAV with PFP Boxes</t>
  </si>
  <si>
    <t>System 8: VAV with PFP Boxes</t>
  </si>
  <si>
    <t>System 4: PSZ-HP</t>
  </si>
  <si>
    <t>System 10: Heating and Ventilation (elec)</t>
  </si>
  <si>
    <t>GSG Baseline
ASHRAE 90.1-2010</t>
  </si>
  <si>
    <t>Energy Savings Per End Use (%) vs GSG</t>
  </si>
  <si>
    <t>Submission</t>
  </si>
  <si>
    <t>Date</t>
  </si>
  <si>
    <t>GSG Baseline</t>
  </si>
  <si>
    <t>GSG Version</t>
  </si>
  <si>
    <t>Drawing Set</t>
  </si>
  <si>
    <t>GSG Baseline Unmet Load Hours</t>
  </si>
  <si>
    <t>GSG Results</t>
  </si>
  <si>
    <t>Proposed Regulated Cost</t>
  </si>
  <si>
    <t>Proposed Total Cost</t>
  </si>
  <si>
    <t>Regulated Cost Savings</t>
  </si>
  <si>
    <t>Total Cost Savings</t>
  </si>
  <si>
    <t>Proposed Site EUI</t>
  </si>
  <si>
    <t>Site EUI Savings</t>
  </si>
  <si>
    <t>Proposed Source EUI</t>
  </si>
  <si>
    <t>Source EUI Savings</t>
  </si>
  <si>
    <t>GSG Compliant?</t>
  </si>
  <si>
    <t>Optimize Energy Points</t>
  </si>
  <si>
    <t>GSG Baseline Total Cost</t>
  </si>
  <si>
    <t>GSG Baseline Site EUI</t>
  </si>
  <si>
    <t>GSG Source EUI</t>
  </si>
  <si>
    <t>ASHRAE 90.1-2013 ECB</t>
  </si>
  <si>
    <t>ASHRAE 90.1-2016 ECB</t>
  </si>
  <si>
    <t>ASHRAE 90.1-2010 PRM</t>
  </si>
  <si>
    <t>2009 Rating System</t>
  </si>
  <si>
    <t>2016 Rating System</t>
  </si>
  <si>
    <t>Baseline Information</t>
  </si>
  <si>
    <t>School Information</t>
  </si>
  <si>
    <t>School Name</t>
  </si>
  <si>
    <t>Address</t>
  </si>
  <si>
    <t>Total Modeled Square Feet</t>
  </si>
  <si>
    <t>Area of plenums/ dummy zones</t>
  </si>
  <si>
    <t>Unconditioned Area</t>
  </si>
  <si>
    <t>Nonresidential - &lt; 5 floors and 25,000 - 150,000 ft2</t>
  </si>
  <si>
    <t>HVAC System / Group
GSG Baseline
ASHRAE 90.1-2010</t>
  </si>
  <si>
    <t>System Type</t>
  </si>
  <si>
    <t>Pressure Drop Adjustments</t>
  </si>
  <si>
    <t>in w.c.</t>
  </si>
  <si>
    <t>Fully Ducted Return</t>
  </si>
  <si>
    <t>Filters: MERV 13-15</t>
  </si>
  <si>
    <t>Heat Recovery Device</t>
  </si>
  <si>
    <t>Sound Attenuation Section</t>
  </si>
  <si>
    <t>Source EUI</t>
  </si>
  <si>
    <t>Factor</t>
  </si>
  <si>
    <t>Electricity</t>
  </si>
  <si>
    <t>Natural Gas</t>
  </si>
  <si>
    <t>Net Modeled Area</t>
  </si>
  <si>
    <t>% Renovation</t>
  </si>
  <si>
    <t>New construction %</t>
  </si>
  <si>
    <t>Renovation %</t>
  </si>
  <si>
    <t>Weighted</t>
  </si>
  <si>
    <t>LEED Points</t>
  </si>
  <si>
    <t>Not Compliant</t>
  </si>
  <si>
    <t>Equipment Included (per Mechanical Schedules)</t>
  </si>
  <si>
    <t>GSG Baseline Chiller</t>
  </si>
  <si>
    <t>0- Building area &lt; 150,000</t>
  </si>
  <si>
    <t>1,2,3 Information</t>
  </si>
  <si>
    <t>4. Purchased Energy Rates</t>
  </si>
  <si>
    <t>Complete the tabs from the standard EN-1 form.  The ASHRAE 90.1-2013 ECB baseline should be used for the baseline case</t>
  </si>
  <si>
    <t>5. Usage Summary</t>
  </si>
  <si>
    <t>6a. Ext. Wall Areas</t>
  </si>
  <si>
    <t>6c. Wall Types</t>
  </si>
  <si>
    <t>6d. Interior LPD- Space Method (do not complete Bldg Method worksheet)</t>
  </si>
  <si>
    <t>6e. Ext LPD, 6f. Process Equip.</t>
  </si>
  <si>
    <t>Ext LPD Calculator</t>
  </si>
  <si>
    <t>6g. Service HW</t>
  </si>
  <si>
    <t>6l. HVAC Water-side HW &amp; Steam</t>
  </si>
  <si>
    <t>Complete the SCA Tabs</t>
  </si>
  <si>
    <t>User edit</t>
  </si>
  <si>
    <t>GSG Baseline Model</t>
  </si>
  <si>
    <t>Most of the information is linked to the EN-1 form.  The information for the GSG baseline needs to be input in the SCA-specific tabs.</t>
  </si>
  <si>
    <t>Do not edit:  information from EN-1</t>
  </si>
  <si>
    <t>Print the Teal SCA Tabs and include in the printed submission.</t>
  </si>
  <si>
    <t>LV-I</t>
  </si>
  <si>
    <t>WAS</t>
  </si>
  <si>
    <t>COMPUTER CLASSROOM IS</t>
  </si>
  <si>
    <t>LEFT AS-IS (PDF DIDN'T SPECIFY ENCLOSED OR OPEN)</t>
  </si>
  <si>
    <t>Air cooled w/ 30% propylene 
glycol solution in primary loop</t>
  </si>
  <si>
    <t>kW/ton</t>
  </si>
  <si>
    <t>Demand Reset</t>
  </si>
  <si>
    <t xml:space="preserve">Modulating Condensing w/ 30% propylene glycol solution in primary loop </t>
  </si>
  <si>
    <t>Gas Fired, Hot Water</t>
  </si>
  <si>
    <t>93% (@RWT=120°F)
86% (@RWT=140°F)</t>
  </si>
  <si>
    <t>kBTU</t>
  </si>
  <si>
    <t>Outdoor air – return water temp reset</t>
  </si>
  <si>
    <t>RWT=140°F @ OAT≤20°F
RWT=120 °F @ OAT≥50°F</t>
  </si>
  <si>
    <t>Outdoor air – supply water temp reset</t>
  </si>
  <si>
    <t>SWT=180°F @ OAT≤20°F
SWT=150 °F @ OAT≥50°F</t>
  </si>
  <si>
    <t>Primary Only</t>
  </si>
  <si>
    <t>W/GPM</t>
  </si>
  <si>
    <t>6j. HVAC Water-side CHW (proposed design only)</t>
  </si>
  <si>
    <t>Based on 50% efficiency for 1 stream.  Enter cfm for supply + exhaust through ERV</t>
  </si>
  <si>
    <t>Additional Air-side tabs may need to be created, based on the design.</t>
  </si>
  <si>
    <t>Proposed Carbon (Ton CO2e)</t>
  </si>
  <si>
    <t>Proposed Carbon (Ton CO2e/ft2)</t>
  </si>
  <si>
    <t>Carbon Factors (2024-2029 1253-C)</t>
  </si>
  <si>
    <t>Electric Grid</t>
  </si>
  <si>
    <r>
      <t>tCO</t>
    </r>
    <r>
      <rPr>
        <vertAlign val="subscript"/>
        <sz val="11"/>
        <color theme="1"/>
        <rFont val="Calibri"/>
        <family val="2"/>
        <scheme val="minor"/>
      </rPr>
      <t>2e</t>
    </r>
    <r>
      <rPr>
        <sz val="11"/>
        <color theme="1"/>
        <rFont val="Calibri"/>
        <family val="2"/>
        <scheme val="minor"/>
      </rPr>
      <t>/MMBtu</t>
    </r>
  </si>
  <si>
    <t>Natural Gas Carbon Factor</t>
  </si>
  <si>
    <t>Fuel Oil #2 Carbon Factor</t>
  </si>
  <si>
    <t>Fuel Oil #4 Carbon Factor</t>
  </si>
  <si>
    <t>Fuel Oil #5 Carbon Factor</t>
  </si>
  <si>
    <t>Fuel Oil #6 Carbon Factor</t>
  </si>
  <si>
    <t>District Steam Carbon Factor</t>
  </si>
  <si>
    <t>Carbon emissions (TonCO2e) in "SCA Exec Summary", Cell C43, will need to be manually calculated for buildings purchasing utilities other than natural gas and electricity (steam, fuel oil, etc)</t>
  </si>
  <si>
    <t>Template Used</t>
  </si>
  <si>
    <t>Medium</t>
  </si>
  <si>
    <t>Large</t>
  </si>
  <si>
    <t>eQuest Model Review Checklist</t>
  </si>
  <si>
    <t>Yes/No</t>
  </si>
  <si>
    <t>General information</t>
  </si>
  <si>
    <t>BEPU report information</t>
  </si>
  <si>
    <t>Is the "Pumps and Aux" EFLH consistent with the design? i.e. total pump EFLH should be roughly equal to the sum of respective plant EFLH for plants with pumps.</t>
  </si>
  <si>
    <t xml:space="preserve">Describe any changes between this submission and the previous submission:                                                                                                                                  </t>
  </si>
  <si>
    <t xml:space="preserve">Describe deviations from the SCA Standard Details (Including SCA approved ECMs) </t>
  </si>
  <si>
    <t>ES-D report information</t>
  </si>
  <si>
    <t>LV-B report information</t>
  </si>
  <si>
    <t>Are the equipment power densities consistent with the input summary?</t>
  </si>
  <si>
    <t>LV-D report information</t>
  </si>
  <si>
    <t>Is the "Window Area" divided by the "Window+Wall Area" for the "All Walls" line consistent with the report window to wall ratio?</t>
  </si>
  <si>
    <t>Is the roof area consistent with the footprint of the building?</t>
  </si>
  <si>
    <t>Select a few representative wall definitions, are their U-values consistent with report values?                                                                                                                                          Note:
The LV-D and LV-I reports calculations are not consistent with the protocol established by ASHRAE 90.1 Appendix A.  The interior air film coefficient default does not account for the orientation of the construction.  The LV-I U-value calculation does not consider the exterior air film, and the LV-D U-value calculation uses a different value than specified by ASHRAE 90.1 Appendix A.  During the simulation, eQuest calculates the exterior air film hourly based on the wind speed from the weather file.</t>
  </si>
  <si>
    <t xml:space="preserve">Select a few representative window definitions, are their U-values consistent with report values?                                                                                                                                           Note:
The window U-values include an exterior film with R-value = 0.3.  NFRC uses 0.17 to calculate the U-factor.  The U-value from the LV-D report will be 3-5% lower than reported value.    </t>
  </si>
  <si>
    <t>LV-H report information</t>
  </si>
  <si>
    <t>Is the weighted average U-value consistent with the report values for frame and glass U-values?</t>
  </si>
  <si>
    <t xml:space="preserve">Is a "setback" modeled? If yes, is it consistent with the design? No setback should be modeled in the baseline condition for new construction projects. </t>
  </si>
  <si>
    <t>LV-I report information</t>
  </si>
  <si>
    <t>Are "Delayed" surface types used for exterior wall and roof construction definitions? If no, explain where building massing is being accounted for in the model.</t>
  </si>
  <si>
    <t xml:space="preserve">Are the "Number of Response Factors" consistent with report mass vs. framed construction? </t>
  </si>
  <si>
    <t>SV-A report information</t>
  </si>
  <si>
    <t>Is there one system per floor for the GSG baseline, with the exception of the public assembly spaces and 24hr data rooms?</t>
  </si>
  <si>
    <t>Are "Capacity (CFM)" and "Power Demand" consistent with the report?</t>
  </si>
  <si>
    <t>Is the "Outside Air Ratio" consistent with the ratio calculated using the report values?</t>
  </si>
  <si>
    <t>Is the "Outside Air Ratio" lower than the "Minimum Flow"? If no, correct this. Note: eQuest has a known bug where the software will not reset minimum flow up to the outside air ratio.</t>
  </si>
  <si>
    <t xml:space="preserve">Are there "Baseboards" defined in the Proposed system? Is this consistent with the report? No baseboards should be defined in the baseline systems. </t>
  </si>
  <si>
    <t>PV-A report information</t>
  </si>
  <si>
    <t>Are "Capacity Control" values consistent with the report? Note: If a loop is served by more than 1 pump, the variable speed pumps will be reported as "VFD &amp; STAGED"</t>
  </si>
  <si>
    <t>PS-E report information</t>
  </si>
  <si>
    <t>Do "Task Lighting", "Misc Equip", "Domest Hot Wtr", and "Ext Usage" all have the same Max kW for all months? If not, is this explained?</t>
  </si>
  <si>
    <t xml:space="preserve">If daylighting is specified, does "lights" Max kW have a minimum in the summer and maximum in the winter? Note: if daylighting is claimed but not modeled the lighting use will only be determined by the schedule and the peak will not vary. The peak vaires becaue of the change in solar angle from summer to winter. The use varies also because the number of hours of daylight changes as well. When daylighting is modeled, the EFLH will not match the schedule. </t>
  </si>
  <si>
    <t xml:space="preserve">Is "space cooling" minimal in the winter? Are these values consistent with the data room equipment sizes? Note: peaks in winter should be equal to the power input of data or EMR dedicated units. </t>
  </si>
  <si>
    <t>Has an SV-A report been provided for all systems referenced in the report?</t>
  </si>
  <si>
    <t>N/A</t>
  </si>
  <si>
    <t>Is "Task Lighting" the same between baselines and proposed cases? If no, fix or provide supporting documentation.</t>
  </si>
  <si>
    <t xml:space="preserve">Is the "Weather file" consistent with the building location. </t>
  </si>
  <si>
    <t>Is “Percent of hours any plant load not satisfied” 0%?  If no, fix or provide supporting documentation.</t>
  </si>
  <si>
    <t xml:space="preserve">Do the utility costs match the values in the report? </t>
  </si>
  <si>
    <t>LL32 Baseline
ASHRAE 90.1-2013 ECB</t>
  </si>
  <si>
    <t>Energy Savings Per End Use (%) vs LL32</t>
  </si>
  <si>
    <t>LL32 Baseline</t>
  </si>
  <si>
    <t>LL32 Baseline Unmet Load Hours</t>
  </si>
  <si>
    <t>LL32 Results</t>
  </si>
  <si>
    <t>LL32 Baseline Regulated Cost</t>
  </si>
  <si>
    <t>LL32  Baseline Total Cost</t>
  </si>
  <si>
    <t>LL32 Baseline Site EUI</t>
  </si>
  <si>
    <t>LL32 Source EUI</t>
  </si>
  <si>
    <t>LL32 Compliant?</t>
  </si>
  <si>
    <t>Is there 1-1 correspondence in the number of systems between the LL32 baseline and proposed design?</t>
  </si>
  <si>
    <t>Does pump "Head" match between proposed and LL32 baseline?</t>
  </si>
  <si>
    <t>HVAC System / Group
LL32 Baseline
ASHRAE 90.1-2013 ECB</t>
  </si>
  <si>
    <t xml:space="preserve">Are U-Values within the acceptable range of the reported values? Note: Compare U-values reported in the LV-D report to those in the LV-I report. The LV-I report values will be higher, with variation depending on the thermal properties of the wall. LV-I values may vary from LV-D report as follows                                                                  LV-D U-value        -              LV-I Deviation                                                                                         &lt;0.07                      -               &lt;5% higher                                                                                                         0.07 - 0.13             -               5-10% higher                                                                                            0.13 - 0.17             -               10-15% higher                                                                                                0.17 - 0.20             -               15-20% higher          </t>
  </si>
  <si>
    <t>Is the split between electricity and natural gas "Space Heating" consistent with the design and report documentation?</t>
  </si>
  <si>
    <t>The sum of the hours above cooling throttling range and heating throttling is above 300.  Please correct.</t>
  </si>
  <si>
    <t>Is the "Glass Shading Coeff" and "Glass Visible Trans" consistent with the report and design values?</t>
  </si>
  <si>
    <t>Is the "rated capacity" of proposed equiment consistent with the report and design values?</t>
  </si>
  <si>
    <t>The GSG baseline does not show Zero electric use for heating.  Electric heating should only happen under special circumstances.  Please correct or provide an explanation.</t>
  </si>
  <si>
    <t>Automatic Checks</t>
  </si>
  <si>
    <t>Explanation, if required</t>
  </si>
  <si>
    <t>Does the project area include a kitchen?</t>
  </si>
  <si>
    <t>Response</t>
  </si>
  <si>
    <t>Calculate the GSG baseline "Power"/"Flow" for secondary and primary pumps. Does this value add up to 19 W/gpm for heating, 22 W/gpm for cooling, and 19 W/gpm for the condenser loop?  Chilled and condenser water loops should be present in schools &gt;150,000 ft2 only.</t>
  </si>
  <si>
    <t>Are the lighting power densities consistent with the report/photometric drawing/code requirements? Have lighting schedules been assigned that reflect mandatory controls (template defaults should be sufficient)?</t>
  </si>
  <si>
    <t>Verify the kitchen type (full gas, full electric, or warming) been modeled per the proposed design and the kitchen loads reflect the number of students in the POR.</t>
  </si>
  <si>
    <t>Verify the occupancy and ventilation requirements in the classrooms been updated to match the POR.</t>
  </si>
  <si>
    <t>eQuest Model Review Checklist- Output Report Verification</t>
  </si>
  <si>
    <t>Is the split between electricity and natural gas "Domest Hot Wtr" consistent with the DHW system design?</t>
  </si>
  <si>
    <t>Complete the General Checklist and the Output Report Checklist</t>
  </si>
  <si>
    <t>The Misc Equipment is not the same in baseline and proposed designs.  Please correct or provide an explanation.</t>
  </si>
  <si>
    <t>The total amount of hours the design is out of range (heating + cooling) differs from the GSG baseline by more than 50 hours.  Please correct or provide an explanation.</t>
  </si>
  <si>
    <t>6i. HVAC Air-side (complete 1 spreadsheet for each system type, add tabs as needed)</t>
  </si>
  <si>
    <t>The "Ext Usage" EFLH is more than 4,500 per the report design value. Exterior lighting is only to be run during dark hours, even worst cases should not exceed this value.   Please correct or provide an explanation.</t>
  </si>
  <si>
    <t>2019 Rating System</t>
  </si>
  <si>
    <t xml:space="preserve"> </t>
  </si>
  <si>
    <t>Building Type</t>
  </si>
  <si>
    <t>Number of Stories</t>
  </si>
  <si>
    <t>Window/Wall Ratio</t>
  </si>
  <si>
    <t>LL32 Regulated Electric Cost</t>
  </si>
  <si>
    <t>LL32 Regulated Gas Cost</t>
  </si>
  <si>
    <t>LL32 Unregulated Electic Cost</t>
  </si>
  <si>
    <t>LL32 Unregulated Gas Cost</t>
  </si>
  <si>
    <t>Proposed Regulated Electric Cost</t>
  </si>
  <si>
    <t>Proposed Regulated Gas Cost</t>
  </si>
  <si>
    <t>GSG Baseline Electric Cost</t>
  </si>
  <si>
    <t>GSG Baseline Gas Cost</t>
  </si>
  <si>
    <t>Proposed Electric Cost</t>
  </si>
  <si>
    <t>Proposed Gas Cost</t>
  </si>
  <si>
    <t>Include any ECM's that are not part of the SCA standard design requirements</t>
  </si>
  <si>
    <t>Utility Rates</t>
  </si>
  <si>
    <t>Average Electricity Cost  ($/kWh)</t>
  </si>
  <si>
    <t>Average Gas Cost  ($/Therm)</t>
  </si>
  <si>
    <t>Is "Heat Rejection" zero ?  If no, provide an explanation.  Heat rejection should only be more than zero for water-cooled units (GSG Baseline &gt; 150,000 ft2 and designs that deviate from the standard)</t>
  </si>
  <si>
    <t>Energy Efficiency Measure Summary</t>
  </si>
  <si>
    <t>kWh</t>
  </si>
  <si>
    <t>Cost</t>
  </si>
  <si>
    <t>Therms</t>
  </si>
  <si>
    <t>Description of Measure</t>
  </si>
  <si>
    <t>Total Cost</t>
  </si>
  <si>
    <t>Source Energy Use</t>
  </si>
  <si>
    <t>Total (kBtu)</t>
  </si>
  <si>
    <t>EUI (kBtu/ft2)</t>
  </si>
  <si>
    <t>Measure #</t>
  </si>
  <si>
    <r>
      <t>Note: Only required for measures that are</t>
    </r>
    <r>
      <rPr>
        <b/>
        <sz val="11"/>
        <color theme="1"/>
        <rFont val="Calibri"/>
        <family val="2"/>
        <scheme val="minor"/>
      </rPr>
      <t xml:space="preserve"> NOT</t>
    </r>
    <r>
      <rPr>
        <sz val="11"/>
        <color theme="1"/>
        <rFont val="Calibri"/>
        <family val="2"/>
        <scheme val="minor"/>
      </rPr>
      <t xml:space="preserve"> included in proposed design</t>
    </r>
  </si>
  <si>
    <t>The SCA ECM Summary tab only needs to be completed if additional measures, which are not included in the proposed design, have been modeled for evaluation.  If no measures have been modeled, this tab does not need to be completed.</t>
  </si>
  <si>
    <t>Have additional measures been included for evaluation that are not part of the proposed design?</t>
  </si>
  <si>
    <t>DES Electric</t>
  </si>
  <si>
    <t>DES Gas</t>
  </si>
  <si>
    <t>LL32 Baseline (Watts)</t>
  </si>
  <si>
    <t>GSG Baseline (Watts)</t>
  </si>
  <si>
    <t>Proposed Design
Equipment Power Density (W/SF)</t>
  </si>
  <si>
    <t>LL32 Baseline Design
Equipment Power Density (W/SF)</t>
  </si>
  <si>
    <t>GSG Baseline Design
Equipment Power Density (W/SF)</t>
  </si>
  <si>
    <t>Kitchen Equipment</t>
  </si>
  <si>
    <t>Population Served by Kitchen</t>
  </si>
  <si>
    <t>Kitchen Type</t>
  </si>
  <si>
    <t>Cooking Fuel</t>
  </si>
  <si>
    <t>Total Kitchen Plug Load</t>
  </si>
  <si>
    <t>Kitchen Plug Load Schedule</t>
  </si>
  <si>
    <t>Total Kitchen Source Load</t>
  </si>
  <si>
    <t>Source Load Schedule</t>
  </si>
  <si>
    <t>Kitchen Equipmnt</t>
  </si>
  <si>
    <t>Full Kitchen</t>
  </si>
  <si>
    <t>Warming Kitchen</t>
  </si>
  <si>
    <t>401-KIT-SRC-G-YR</t>
  </si>
  <si>
    <t>501-KIT-SRC-G-YR</t>
  </si>
  <si>
    <t>1K-KIT-SRC-G-YR</t>
  </si>
  <si>
    <t>401-KIT-SRC-E-YR</t>
  </si>
  <si>
    <t>501-KIT-SRC-E-YR</t>
  </si>
  <si>
    <t>1K-KIT-SRC-E-YR</t>
  </si>
  <si>
    <t>101-WKIT-EQP-YR</t>
  </si>
  <si>
    <t>301-WKIT-EQP-YR</t>
  </si>
  <si>
    <t>401-KIT-EQP-YR</t>
  </si>
  <si>
    <t>501-KIT-EQP-YR</t>
  </si>
  <si>
    <t>701-KIT-EQP-YR</t>
  </si>
  <si>
    <t>901-KIT-EQP-YR</t>
  </si>
  <si>
    <t>1K-KIT-EQP-YR</t>
  </si>
  <si>
    <t>Kitchen Check</t>
  </si>
  <si>
    <t>Population</t>
  </si>
  <si>
    <t>Equipment kW</t>
  </si>
  <si>
    <t>Equipment Sch</t>
  </si>
  <si>
    <t>Gas Source</t>
  </si>
  <si>
    <t>Electric Source</t>
  </si>
  <si>
    <t>Elec Source Sch</t>
  </si>
  <si>
    <t>Gas Source Sch</t>
  </si>
  <si>
    <t>Expected Value</t>
  </si>
  <si>
    <t>Is the net modeled project area within 1% of the design area?</t>
  </si>
  <si>
    <t>Reference Number</t>
  </si>
  <si>
    <t xml:space="preserve">Is "Space Heating" zero for June to Sept? If not, is it explained in the report? Is there reheat specified? </t>
  </si>
  <si>
    <t>Select Fuel Type</t>
  </si>
  <si>
    <t>Describe deviations in the floor area that result in a net modeled project area that exceeds the design area by more than 1%.</t>
  </si>
  <si>
    <t>Is the total envelope area (façade and roofs) within 1% of the architectural area take-offs?
If NO, please provide an explanation of the deviations.</t>
  </si>
  <si>
    <t>The deviation of modeled equipment sizes relative to the mechanical systems is greater than 1% for general systems and greater than 5% for motors smaller than 1HP, air flows less than 100 CFM and coil sizes less than 12 kBtu/h. If yes, provide an explanation.</t>
  </si>
  <si>
    <t>The deviation of modeled equipment sizes relative to the mechanical systems is greater than 1% for general equipment and greater than 5% for motors smaller than 1 HP or water flows less than 100 GPM. If yes, provide an explanation.</t>
  </si>
  <si>
    <t>Student population</t>
  </si>
  <si>
    <t>Students served by kitchen</t>
  </si>
  <si>
    <t>Kitchen area</t>
  </si>
  <si>
    <t>Kitchen % of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</si>
</sst>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_(* #,##0_);_(* \(#,##0\);_(* &quot;-&quot;??_);_(@_)"/>
    <numFmt numFmtId="168" formatCode="&quot;$&quot;#,##0.00"/>
    <numFmt numFmtId="169" formatCode="_(&quot;$&quot;* #,##0_);_(&quot;$&quot;* \(#,##0\);_(&quot;$&quot;* &quot;-&quot;??_);_(@_)"/>
    <numFmt numFmtId="170" formatCode="0.0%"/>
    <numFmt numFmtId="171" formatCode="0.00000"/>
    <numFmt numFmtId="172" formatCode="_(* #,##0.000000_);_(* \(#,##0.000000\);_(* &quot;-&quot;??_);_(@_)"/>
    <numFmt numFmtId="173" formatCode="0.000"/>
  </numFmts>
  <fonts count="40" x14ac:knownFonts="1">
    <font>
      <sz val="11"/>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sz val="8"/>
      <color rgb="FF000000"/>
      <name val="Arial"/>
      <family val="2"/>
    </font>
    <font>
      <sz val="8"/>
      <color rgb="FF000000"/>
      <name val="Calibri"/>
      <family val="2"/>
      <scheme val="minor"/>
    </font>
    <font>
      <b/>
      <sz val="10"/>
      <name val="Calibri"/>
      <family val="2"/>
      <scheme val="minor"/>
    </font>
    <font>
      <sz val="10"/>
      <name val="Arial"/>
      <family val="2"/>
    </font>
    <font>
      <sz val="11"/>
      <name val="Calibri"/>
      <family val="2"/>
      <scheme val="minor"/>
    </font>
    <font>
      <sz val="8"/>
      <name val="Calibri"/>
      <family val="2"/>
      <scheme val="minor"/>
    </font>
    <font>
      <vertAlign val="superscript"/>
      <sz val="8"/>
      <name val="Calibri"/>
      <family val="2"/>
      <scheme val="minor"/>
    </font>
    <font>
      <i/>
      <sz val="8"/>
      <name val="Calibri"/>
      <family val="2"/>
      <scheme val="minor"/>
    </font>
    <font>
      <sz val="11"/>
      <color theme="1"/>
      <name val="Calibri"/>
      <family val="2"/>
      <scheme val="minor"/>
    </font>
    <font>
      <b/>
      <sz val="8"/>
      <color theme="1"/>
      <name val="Calibri"/>
      <family val="2"/>
      <scheme val="minor"/>
    </font>
    <font>
      <vertAlign val="subscript"/>
      <sz val="11"/>
      <color theme="1"/>
      <name val="Calibri"/>
      <family val="2"/>
      <scheme val="minor"/>
    </font>
    <font>
      <sz val="8"/>
      <name val="Arial"/>
      <family val="2"/>
    </font>
    <font>
      <b/>
      <sz val="8"/>
      <name val="Calibri"/>
      <family val="2"/>
      <scheme val="minor"/>
    </font>
    <font>
      <b/>
      <sz val="10"/>
      <name val="Arial"/>
      <family val="2"/>
    </font>
    <font>
      <vertAlign val="superscript"/>
      <sz val="8"/>
      <name val="Arial"/>
      <family val="2"/>
    </font>
    <font>
      <b/>
      <sz val="8"/>
      <name val="Arial"/>
      <family val="2"/>
    </font>
    <font>
      <sz val="11"/>
      <color rgb="FFFF0000"/>
      <name val="Calibri"/>
      <family val="2"/>
      <scheme val="minor"/>
    </font>
    <font>
      <b/>
      <sz val="10"/>
      <color rgb="FFFF0000"/>
      <name val="Calibri"/>
      <family val="2"/>
      <scheme val="minor"/>
    </font>
    <font>
      <u/>
      <sz val="10"/>
      <name val="Calibri"/>
      <family val="2"/>
      <scheme val="minor"/>
    </font>
    <font>
      <sz val="11"/>
      <color theme="1"/>
      <name val="Arial"/>
      <family val="2"/>
    </font>
    <font>
      <u/>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i/>
      <sz val="11"/>
      <color theme="1"/>
      <name val="Arial"/>
      <family val="2"/>
    </font>
    <font>
      <b/>
      <sz val="11"/>
      <name val="Calibri"/>
      <family val="2"/>
      <scheme val="minor"/>
    </font>
    <font>
      <b/>
      <sz val="9"/>
      <color theme="1"/>
      <name val="Calibri"/>
      <family val="2"/>
      <scheme val="minor"/>
    </font>
    <font>
      <sz val="9"/>
      <color theme="0" tint="-0.14999847407452621"/>
      <name val="Calibri"/>
      <family val="2"/>
      <scheme val="minor"/>
    </font>
    <font>
      <b/>
      <sz val="16"/>
      <color theme="1"/>
      <name val="Calibri"/>
      <family val="2"/>
      <scheme val="minor"/>
    </font>
    <font>
      <sz val="9"/>
      <name val="Calibri"/>
      <family val="2"/>
      <scheme val="minor"/>
    </font>
    <font>
      <sz val="1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E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bgColor indexed="64"/>
      </patternFill>
    </fill>
    <fill>
      <patternFill patternType="solid">
        <fgColor them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13">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cellStyleXfs>
  <cellXfs count="549">
    <xf numFmtId="0" fontId="0" fillId="0" borderId="0" xfId="0"/>
    <xf numFmtId="0" fontId="2" fillId="0" borderId="0" xfId="0" applyFont="1"/>
    <xf numFmtId="2" fontId="0" fillId="0" borderId="0" xfId="0" applyNumberFormat="1"/>
    <xf numFmtId="0" fontId="2" fillId="0" borderId="0" xfId="0" applyFont="1"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wrapText="1"/>
    </xf>
    <xf numFmtId="0" fontId="3" fillId="0" borderId="0" xfId="0" applyFont="1"/>
    <xf numFmtId="0" fontId="3" fillId="0" borderId="0" xfId="0" applyFont="1" applyAlignment="1">
      <alignment horizontal="left"/>
    </xf>
    <xf numFmtId="2" fontId="10" fillId="0" borderId="0" xfId="0" applyNumberFormat="1" applyFont="1" applyAlignment="1">
      <alignment horizontal="center" textRotation="90" wrapText="1"/>
    </xf>
    <xf numFmtId="2" fontId="3" fillId="0" borderId="0" xfId="0" applyNumberFormat="1" applyFont="1"/>
    <xf numFmtId="0" fontId="12" fillId="0" borderId="0" xfId="0" applyFont="1"/>
    <xf numFmtId="2" fontId="12" fillId="0" borderId="0" xfId="0" applyNumberFormat="1" applyFont="1"/>
    <xf numFmtId="0" fontId="13" fillId="0" borderId="1" xfId="0" applyFont="1" applyBorder="1" applyAlignment="1">
      <alignment vertical="center" wrapText="1"/>
    </xf>
    <xf numFmtId="0" fontId="5" fillId="0" borderId="0" xfId="8"/>
    <xf numFmtId="0" fontId="5" fillId="0" borderId="0" xfId="8" applyAlignment="1">
      <alignment horizontal="center"/>
    </xf>
    <xf numFmtId="0" fontId="5" fillId="0" borderId="1" xfId="8" applyBorder="1"/>
    <xf numFmtId="2" fontId="5" fillId="0" borderId="0" xfId="8" applyNumberFormat="1" applyAlignment="1">
      <alignment horizontal="center" vertical="center"/>
    </xf>
    <xf numFmtId="0" fontId="5" fillId="2" borderId="1" xfId="8" applyFill="1" applyBorder="1" applyAlignment="1">
      <alignment horizontal="center"/>
    </xf>
    <xf numFmtId="0" fontId="5" fillId="0" borderId="1" xfId="8" applyBorder="1" applyAlignment="1">
      <alignment horizontal="center"/>
    </xf>
    <xf numFmtId="0" fontId="5" fillId="0" borderId="1" xfId="8" applyBorder="1" applyAlignment="1">
      <alignment horizontal="center" wrapText="1"/>
    </xf>
    <xf numFmtId="0" fontId="5" fillId="2" borderId="1" xfId="8" applyFill="1" applyBorder="1" applyAlignment="1">
      <alignment horizontal="center" wrapText="1"/>
    </xf>
    <xf numFmtId="2" fontId="5" fillId="2" borderId="1" xfId="8" applyNumberFormat="1" applyFill="1" applyBorder="1" applyAlignment="1">
      <alignment horizontal="center"/>
    </xf>
    <xf numFmtId="166" fontId="5" fillId="2" borderId="1" xfId="8" applyNumberFormat="1" applyFill="1" applyBorder="1" applyAlignment="1">
      <alignment horizontal="center"/>
    </xf>
    <xf numFmtId="2" fontId="5" fillId="0" borderId="1" xfId="8" applyNumberFormat="1" applyBorder="1" applyAlignment="1">
      <alignment horizontal="center"/>
    </xf>
    <xf numFmtId="166" fontId="5" fillId="0" borderId="1" xfId="8" applyNumberFormat="1" applyBorder="1" applyAlignment="1">
      <alignment horizontal="center"/>
    </xf>
    <xf numFmtId="0" fontId="5" fillId="0" borderId="0" xfId="8" applyAlignment="1">
      <alignment horizontal="center" wrapText="1"/>
    </xf>
    <xf numFmtId="2" fontId="5" fillId="0" borderId="0" xfId="8" applyNumberFormat="1" applyAlignment="1">
      <alignment horizontal="center"/>
    </xf>
    <xf numFmtId="166" fontId="5" fillId="0" borderId="0" xfId="8" applyNumberFormat="1" applyAlignment="1">
      <alignment horizontal="center"/>
    </xf>
    <xf numFmtId="0" fontId="5" fillId="0" borderId="0" xfId="8" applyAlignment="1">
      <alignment vertical="center" wrapText="1"/>
    </xf>
    <xf numFmtId="0" fontId="2" fillId="2" borderId="1" xfId="8" applyFont="1" applyFill="1" applyBorder="1" applyAlignment="1">
      <alignment horizontal="center" wrapText="1"/>
    </xf>
    <xf numFmtId="0" fontId="2" fillId="2" borderId="1" xfId="8" applyFont="1" applyFill="1" applyBorder="1" applyAlignment="1">
      <alignment horizontal="right" wrapText="1"/>
    </xf>
    <xf numFmtId="0" fontId="2" fillId="2" borderId="1" xfId="8" applyFont="1" applyFill="1" applyBorder="1" applyAlignment="1">
      <alignment horizontal="center"/>
    </xf>
    <xf numFmtId="0" fontId="2" fillId="2" borderId="1" xfId="8" applyFont="1" applyFill="1" applyBorder="1" applyAlignment="1">
      <alignment horizontal="right"/>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1"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20" fillId="2" borderId="1" xfId="0" applyFont="1" applyFill="1" applyBorder="1" applyAlignment="1">
      <alignment vertical="center" wrapText="1"/>
    </xf>
    <xf numFmtId="0" fontId="13" fillId="8" borderId="1" xfId="0" applyFont="1" applyFill="1" applyBorder="1" applyAlignment="1">
      <alignment vertical="center" wrapText="1"/>
    </xf>
    <xf numFmtId="2" fontId="13"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3" fillId="2" borderId="3" xfId="0" applyFont="1" applyFill="1" applyBorder="1" applyAlignment="1">
      <alignment vertical="center" wrapText="1"/>
    </xf>
    <xf numFmtId="0" fontId="4" fillId="8" borderId="1" xfId="8" applyFont="1" applyFill="1" applyBorder="1" applyAlignment="1" applyProtection="1">
      <alignment horizontal="center" vertical="center"/>
      <protection locked="0"/>
    </xf>
    <xf numFmtId="0" fontId="9"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vertical="center" wrapText="1"/>
    </xf>
    <xf numFmtId="0" fontId="17" fillId="2" borderId="1" xfId="0" applyFont="1" applyFill="1" applyBorder="1" applyAlignment="1">
      <alignment vertical="center" wrapText="1"/>
    </xf>
    <xf numFmtId="0" fontId="24" fillId="0" borderId="0" xfId="0" applyFont="1"/>
    <xf numFmtId="0" fontId="24" fillId="0" borderId="1" xfId="0" applyFont="1" applyBorder="1"/>
    <xf numFmtId="0" fontId="0" fillId="2" borderId="1" xfId="0" applyFill="1" applyBorder="1"/>
    <xf numFmtId="0" fontId="0" fillId="5" borderId="1" xfId="0" applyFill="1" applyBorder="1"/>
    <xf numFmtId="0" fontId="0" fillId="8" borderId="1" xfId="0" applyFill="1" applyBorder="1"/>
    <xf numFmtId="0" fontId="25" fillId="0" borderId="0" xfId="0" applyFont="1"/>
    <xf numFmtId="0" fontId="0" fillId="4" borderId="12" xfId="0" applyFill="1" applyBorder="1"/>
    <xf numFmtId="0" fontId="0" fillId="4" borderId="19" xfId="0" applyFill="1" applyBorder="1"/>
    <xf numFmtId="0" fontId="0" fillId="4" borderId="8" xfId="0" applyFill="1" applyBorder="1"/>
    <xf numFmtId="9" fontId="0" fillId="0" borderId="0" xfId="11" applyFont="1"/>
    <xf numFmtId="0" fontId="2" fillId="5" borderId="1" xfId="10" applyNumberFormat="1" applyFont="1" applyFill="1" applyBorder="1" applyAlignment="1" applyProtection="1">
      <alignment vertical="center" wrapText="1"/>
      <protection hidden="1"/>
    </xf>
    <xf numFmtId="164" fontId="2" fillId="5" borderId="1" xfId="10" applyFont="1" applyFill="1" applyBorder="1" applyAlignment="1" applyProtection="1">
      <alignment vertical="center" wrapText="1"/>
      <protection hidden="1"/>
    </xf>
    <xf numFmtId="2" fontId="2" fillId="5" borderId="1" xfId="10" applyNumberFormat="1" applyFont="1" applyFill="1" applyBorder="1" applyAlignment="1" applyProtection="1">
      <alignment vertical="center" wrapText="1"/>
      <protection hidden="1"/>
    </xf>
    <xf numFmtId="166" fontId="19" fillId="5" borderId="1" xfId="0" applyNumberFormat="1"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19" fillId="5" borderId="1" xfId="0" applyFont="1" applyFill="1" applyBorder="1" applyAlignment="1" applyProtection="1">
      <alignment horizontal="center" vertical="center" wrapText="1"/>
      <protection hidden="1"/>
    </xf>
    <xf numFmtId="2" fontId="19" fillId="5" borderId="1" xfId="0" applyNumberFormat="1"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2" fontId="13" fillId="5" borderId="1" xfId="0" applyNumberFormat="1" applyFont="1" applyFill="1" applyBorder="1" applyAlignment="1" applyProtection="1">
      <alignment horizontal="center" vertical="center" wrapText="1"/>
      <protection hidden="1"/>
    </xf>
    <xf numFmtId="2" fontId="15" fillId="5" borderId="1" xfId="0" applyNumberFormat="1" applyFont="1" applyFill="1" applyBorder="1" applyAlignment="1" applyProtection="1">
      <alignment vertical="center" wrapText="1"/>
      <protection hidden="1"/>
    </xf>
    <xf numFmtId="3" fontId="13" fillId="5" borderId="1" xfId="0" applyNumberFormat="1" applyFont="1" applyFill="1" applyBorder="1" applyAlignment="1" applyProtection="1">
      <alignment vertical="center" wrapText="1"/>
      <protection hidden="1"/>
    </xf>
    <xf numFmtId="0" fontId="13" fillId="5" borderId="1" xfId="0" applyFont="1" applyFill="1" applyBorder="1" applyAlignment="1" applyProtection="1">
      <alignment vertical="center" wrapText="1"/>
      <protection hidden="1"/>
    </xf>
    <xf numFmtId="1" fontId="13" fillId="5" borderId="1" xfId="0" applyNumberFormat="1"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hidden="1"/>
    </xf>
    <xf numFmtId="167" fontId="13" fillId="5" borderId="1" xfId="9" applyNumberFormat="1" applyFont="1" applyFill="1" applyBorder="1" applyAlignment="1" applyProtection="1">
      <alignment vertical="center" wrapText="1"/>
      <protection hidden="1"/>
    </xf>
    <xf numFmtId="0" fontId="2" fillId="5" borderId="1" xfId="8" applyFont="1" applyFill="1" applyBorder="1" applyAlignment="1" applyProtection="1">
      <alignment horizontal="center" vertical="center"/>
      <protection hidden="1"/>
    </xf>
    <xf numFmtId="2" fontId="2" fillId="5" borderId="3" xfId="8" applyNumberFormat="1" applyFont="1" applyFill="1" applyBorder="1" applyAlignment="1" applyProtection="1">
      <alignment horizontal="center" vertical="center"/>
      <protection hidden="1"/>
    </xf>
    <xf numFmtId="0" fontId="2" fillId="5" borderId="5" xfId="8" applyFont="1" applyFill="1" applyBorder="1" applyAlignment="1" applyProtection="1">
      <alignment vertical="center"/>
      <protection hidden="1"/>
    </xf>
    <xf numFmtId="0" fontId="2" fillId="5" borderId="9" xfId="8" applyFont="1" applyFill="1" applyBorder="1" applyAlignment="1" applyProtection="1">
      <alignment horizontal="center"/>
      <protection hidden="1"/>
    </xf>
    <xf numFmtId="0" fontId="2" fillId="5" borderId="1" xfId="8" applyFont="1" applyFill="1" applyBorder="1" applyAlignment="1" applyProtection="1">
      <alignment horizontal="center"/>
      <protection hidden="1"/>
    </xf>
    <xf numFmtId="2" fontId="13" fillId="5" borderId="3" xfId="8" applyNumberFormat="1" applyFont="1" applyFill="1" applyBorder="1" applyAlignment="1" applyProtection="1">
      <alignment horizontal="center" vertical="center"/>
      <protection hidden="1"/>
    </xf>
    <xf numFmtId="1" fontId="13" fillId="5" borderId="3" xfId="8" applyNumberFormat="1" applyFont="1" applyFill="1" applyBorder="1" applyAlignment="1" applyProtection="1">
      <alignment horizontal="center" vertical="center"/>
      <protection hidden="1"/>
    </xf>
    <xf numFmtId="0" fontId="4" fillId="2" borderId="1" xfId="8" applyFont="1" applyFill="1" applyBorder="1" applyAlignment="1" applyProtection="1">
      <alignment horizontal="center" vertical="center"/>
      <protection hidden="1"/>
    </xf>
    <xf numFmtId="164" fontId="0" fillId="0" borderId="0" xfId="0" applyNumberFormat="1"/>
    <xf numFmtId="0" fontId="7" fillId="2" borderId="0" xfId="0" applyFont="1" applyFill="1" applyAlignment="1">
      <alignment vertical="center" wrapText="1"/>
    </xf>
    <xf numFmtId="0" fontId="6" fillId="0" borderId="0" xfId="0" applyFont="1" applyAlignment="1">
      <alignment horizontal="right" vertical="center" wrapText="1"/>
    </xf>
    <xf numFmtId="0" fontId="2" fillId="4" borderId="3" xfId="0" applyFont="1" applyFill="1" applyBorder="1"/>
    <xf numFmtId="0" fontId="2" fillId="4" borderId="4" xfId="0" applyFont="1" applyFill="1" applyBorder="1"/>
    <xf numFmtId="0" fontId="2" fillId="4" borderId="5" xfId="0" applyFont="1" applyFill="1" applyBorder="1"/>
    <xf numFmtId="0" fontId="0" fillId="9" borderId="1" xfId="0" applyFill="1" applyBorder="1"/>
    <xf numFmtId="0" fontId="13" fillId="2" borderId="15" xfId="0" applyFont="1" applyFill="1" applyBorder="1" applyAlignment="1">
      <alignment vertical="center" wrapText="1"/>
    </xf>
    <xf numFmtId="0" fontId="12" fillId="2" borderId="15" xfId="0" applyFont="1" applyFill="1" applyBorder="1" applyAlignment="1">
      <alignment horizontal="left"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7" fillId="4" borderId="13" xfId="0" applyFont="1" applyFill="1" applyBorder="1"/>
    <xf numFmtId="0" fontId="0" fillId="4" borderId="13" xfId="0" applyFill="1" applyBorder="1"/>
    <xf numFmtId="0" fontId="0" fillId="4" borderId="14" xfId="0" applyFill="1" applyBorder="1"/>
    <xf numFmtId="0" fontId="13" fillId="0" borderId="1" xfId="0" applyFont="1" applyBorder="1" applyAlignment="1">
      <alignment horizontal="center" vertical="center" wrapText="1"/>
    </xf>
    <xf numFmtId="0" fontId="13" fillId="8" borderId="3" xfId="0" applyFont="1" applyFill="1" applyBorder="1" applyAlignment="1" applyProtection="1">
      <alignment vertical="center" wrapText="1"/>
      <protection locked="0"/>
    </xf>
    <xf numFmtId="0" fontId="13" fillId="8" borderId="4" xfId="0" applyFont="1" applyFill="1" applyBorder="1" applyAlignment="1" applyProtection="1">
      <alignment vertical="center" wrapText="1"/>
      <protection locked="0"/>
    </xf>
    <xf numFmtId="0" fontId="13" fillId="8" borderId="5" xfId="0" applyFont="1" applyFill="1" applyBorder="1" applyAlignment="1" applyProtection="1">
      <alignment vertical="center" wrapText="1"/>
      <protection locked="0"/>
    </xf>
    <xf numFmtId="0" fontId="13" fillId="8" borderId="1" xfId="0" applyFont="1" applyFill="1" applyBorder="1" applyAlignment="1" applyProtection="1">
      <alignment horizontal="center" vertical="center" wrapText="1"/>
      <protection locked="0"/>
    </xf>
    <xf numFmtId="0" fontId="32" fillId="0" borderId="0" xfId="12"/>
    <xf numFmtId="167" fontId="6" fillId="0" borderId="1" xfId="9" applyNumberFormat="1" applyFont="1" applyBorder="1" applyAlignment="1" applyProtection="1">
      <alignment vertical="center" wrapText="1"/>
      <protection locked="0"/>
    </xf>
    <xf numFmtId="167" fontId="6" fillId="0" borderId="1" xfId="9" applyNumberFormat="1"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167" fontId="2" fillId="0" borderId="0" xfId="9" applyNumberFormat="1" applyFont="1" applyProtection="1">
      <protection locked="0"/>
    </xf>
    <xf numFmtId="0" fontId="0" fillId="4" borderId="0" xfId="0" applyFill="1" applyProtection="1">
      <protection locked="0"/>
    </xf>
    <xf numFmtId="0" fontId="0" fillId="4" borderId="20" xfId="0" applyFill="1" applyBorder="1" applyProtection="1">
      <protection locked="0"/>
    </xf>
    <xf numFmtId="0" fontId="0" fillId="4" borderId="2" xfId="0" applyFill="1" applyBorder="1" applyProtection="1">
      <protection locked="0"/>
    </xf>
    <xf numFmtId="0" fontId="0" fillId="4" borderId="10" xfId="0" applyFill="1" applyBorder="1" applyProtection="1">
      <protection locked="0"/>
    </xf>
    <xf numFmtId="167" fontId="6" fillId="5" borderId="1" xfId="9" applyNumberFormat="1" applyFont="1" applyFill="1" applyBorder="1" applyAlignment="1" applyProtection="1">
      <alignment vertical="center" wrapText="1"/>
      <protection hidden="1"/>
    </xf>
    <xf numFmtId="0" fontId="6" fillId="5" borderId="1" xfId="0" applyFont="1" applyFill="1" applyBorder="1" applyAlignment="1" applyProtection="1">
      <alignment vertical="center" wrapText="1"/>
      <protection hidden="1"/>
    </xf>
    <xf numFmtId="9" fontId="6" fillId="5" borderId="1" xfId="11" applyFont="1" applyFill="1" applyBorder="1" applyAlignment="1" applyProtection="1">
      <alignment vertical="center" wrapText="1"/>
      <protection hidden="1"/>
    </xf>
    <xf numFmtId="164" fontId="6" fillId="5" borderId="15" xfId="10" applyFont="1" applyFill="1" applyBorder="1" applyAlignment="1" applyProtection="1">
      <alignment vertical="center" wrapText="1"/>
      <protection hidden="1"/>
    </xf>
    <xf numFmtId="0" fontId="19" fillId="0" borderId="1" xfId="0" applyFont="1" applyBorder="1" applyAlignment="1" applyProtection="1">
      <alignment horizontal="center" vertical="center" wrapText="1"/>
      <protection locked="0"/>
    </xf>
    <xf numFmtId="0" fontId="23" fillId="0" borderId="5" xfId="0" applyFont="1" applyBorder="1" applyAlignment="1" applyProtection="1">
      <alignment vertical="center" wrapText="1"/>
      <protection locked="0"/>
    </xf>
    <xf numFmtId="0" fontId="2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9" fontId="13" fillId="0" borderId="1" xfId="11" applyFont="1" applyBorder="1" applyAlignment="1" applyProtection="1">
      <alignment horizontal="center" vertical="center" wrapText="1"/>
      <protection locked="0"/>
    </xf>
    <xf numFmtId="0" fontId="13" fillId="8" borderId="1" xfId="0" applyFont="1" applyFill="1" applyBorder="1" applyAlignment="1" applyProtection="1">
      <alignment vertical="center" wrapText="1"/>
      <protection locked="0"/>
    </xf>
    <xf numFmtId="3" fontId="13" fillId="8" borderId="1" xfId="0" applyNumberFormat="1" applyFont="1" applyFill="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2" fillId="0" borderId="0" xfId="0" applyFont="1" applyProtection="1">
      <protection hidden="1"/>
    </xf>
    <xf numFmtId="1" fontId="13" fillId="0" borderId="1" xfId="0" applyNumberFormat="1" applyFont="1" applyBorder="1" applyAlignment="1" applyProtection="1">
      <alignment vertical="center" wrapText="1"/>
      <protection locked="0"/>
    </xf>
    <xf numFmtId="2" fontId="13" fillId="0" borderId="1" xfId="0" applyNumberFormat="1" applyFont="1" applyBorder="1" applyAlignment="1" applyProtection="1">
      <alignment vertical="center" wrapText="1"/>
      <protection locked="0"/>
    </xf>
    <xf numFmtId="0" fontId="0" fillId="0" borderId="0" xfId="0" applyProtection="1">
      <protection hidden="1"/>
    </xf>
    <xf numFmtId="0" fontId="2" fillId="0" borderId="1" xfId="8" applyFont="1" applyBorder="1" applyAlignment="1" applyProtection="1">
      <alignment horizontal="center" vertical="center"/>
      <protection locked="0"/>
    </xf>
    <xf numFmtId="0" fontId="2" fillId="0" borderId="6" xfId="8" applyFont="1" applyBorder="1" applyAlignment="1" applyProtection="1">
      <alignment horizontal="center" vertical="center"/>
      <protection locked="0"/>
    </xf>
    <xf numFmtId="0" fontId="2" fillId="0" borderId="9" xfId="8" applyFont="1" applyBorder="1" applyAlignment="1" applyProtection="1">
      <alignment horizontal="center" vertical="center"/>
      <protection locked="0"/>
    </xf>
    <xf numFmtId="0" fontId="2" fillId="0" borderId="9" xfId="8" applyFont="1" applyBorder="1" applyAlignment="1" applyProtection="1">
      <alignment horizontal="center"/>
      <protection locked="0"/>
    </xf>
    <xf numFmtId="0" fontId="2" fillId="0" borderId="1" xfId="8" applyFont="1" applyBorder="1" applyAlignment="1" applyProtection="1">
      <alignment horizontal="center"/>
      <protection locked="0"/>
    </xf>
    <xf numFmtId="0" fontId="2" fillId="0" borderId="1" xfId="8" applyFont="1" applyBorder="1" applyProtection="1">
      <protection locked="0"/>
    </xf>
    <xf numFmtId="0" fontId="13" fillId="0" borderId="3" xfId="0" applyFont="1" applyBorder="1" applyAlignment="1" applyProtection="1">
      <alignment horizontal="center" vertical="center" wrapText="1"/>
      <protection locked="0"/>
    </xf>
    <xf numFmtId="0" fontId="13" fillId="8" borderId="1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hidden="1"/>
    </xf>
    <xf numFmtId="0" fontId="13" fillId="0" borderId="3"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3" fillId="0" borderId="0" xfId="0" applyFont="1" applyAlignment="1">
      <alignment horizontal="left" vertical="center" indent="15"/>
    </xf>
    <xf numFmtId="0" fontId="4" fillId="0" borderId="21"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vertical="center" wrapText="1"/>
    </xf>
    <xf numFmtId="0" fontId="5" fillId="0" borderId="0" xfId="0" applyFont="1" applyAlignment="1">
      <alignment vertical="center"/>
    </xf>
    <xf numFmtId="0" fontId="1" fillId="0" borderId="32" xfId="0" applyFont="1" applyBorder="1" applyAlignment="1">
      <alignment horizontal="right"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0" fillId="0" borderId="1" xfId="0" applyBorder="1"/>
    <xf numFmtId="0" fontId="2" fillId="0" borderId="1" xfId="0" applyFont="1" applyBorder="1" applyAlignment="1" applyProtection="1">
      <alignment vertical="center" wrapText="1"/>
      <protection locked="0"/>
    </xf>
    <xf numFmtId="168" fontId="2" fillId="0" borderId="1" xfId="0" applyNumberFormat="1" applyFont="1" applyBorder="1" applyAlignment="1" applyProtection="1">
      <alignment vertical="center" wrapText="1"/>
      <protection locked="0"/>
    </xf>
    <xf numFmtId="164" fontId="2" fillId="0" borderId="1" xfId="10" applyFont="1" applyBorder="1" applyAlignment="1" applyProtection="1">
      <alignment vertical="center" wrapText="1"/>
      <protection locked="0"/>
    </xf>
    <xf numFmtId="0" fontId="2" fillId="0" borderId="1" xfId="0" applyFont="1" applyBorder="1" applyAlignment="1" applyProtection="1">
      <alignment horizontal="right" vertical="center" wrapText="1"/>
      <protection locked="0"/>
    </xf>
    <xf numFmtId="164" fontId="2" fillId="4" borderId="1" xfId="10" applyFont="1" applyFill="1" applyBorder="1" applyAlignment="1" applyProtection="1">
      <alignment vertical="center" wrapText="1"/>
      <protection locked="0" hidden="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left" vertical="center" wrapText="1"/>
    </xf>
    <xf numFmtId="2" fontId="3" fillId="11" borderId="0" xfId="0" applyNumberFormat="1" applyFont="1" applyFill="1"/>
    <xf numFmtId="3" fontId="13" fillId="0" borderId="1" xfId="0" applyNumberFormat="1" applyFont="1" applyBorder="1" applyAlignment="1" applyProtection="1">
      <alignment horizontal="center" vertical="center" wrapText="1"/>
      <protection locked="0"/>
    </xf>
    <xf numFmtId="0" fontId="13" fillId="12" borderId="1" xfId="0" applyFont="1" applyFill="1" applyBorder="1" applyAlignment="1" applyProtection="1">
      <alignment vertical="center" wrapText="1"/>
      <protection locked="0"/>
    </xf>
    <xf numFmtId="2" fontId="13" fillId="12" borderId="1" xfId="0" applyNumberFormat="1" applyFont="1" applyFill="1" applyBorder="1" applyAlignment="1" applyProtection="1">
      <alignment horizontal="center" vertical="center" wrapText="1"/>
      <protection hidden="1"/>
    </xf>
    <xf numFmtId="2" fontId="13" fillId="12" borderId="1" xfId="0" applyNumberFormat="1" applyFont="1" applyFill="1" applyBorder="1" applyAlignment="1" applyProtection="1">
      <alignment horizontal="center" vertical="center" wrapText="1"/>
      <protection locked="0"/>
    </xf>
    <xf numFmtId="0" fontId="19" fillId="12" borderId="1" xfId="0" applyFont="1" applyFill="1" applyBorder="1" applyAlignment="1" applyProtection="1">
      <alignment horizontal="center" vertical="center" wrapText="1"/>
      <protection hidden="1"/>
    </xf>
    <xf numFmtId="0" fontId="13" fillId="12"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left" vertical="center" wrapText="1"/>
      <protection locked="0"/>
    </xf>
    <xf numFmtId="0" fontId="1" fillId="0" borderId="2" xfId="0" applyFont="1" applyBorder="1" applyAlignment="1">
      <alignment horizontal="right" vertical="center"/>
    </xf>
    <xf numFmtId="0" fontId="0" fillId="0" borderId="4" xfId="0" applyBorder="1"/>
    <xf numFmtId="0" fontId="1" fillId="0" borderId="4" xfId="0" applyFont="1" applyBorder="1" applyAlignment="1">
      <alignment horizontal="right" vertical="center"/>
    </xf>
    <xf numFmtId="0" fontId="0" fillId="0" borderId="32" xfId="0" applyBorder="1"/>
    <xf numFmtId="0" fontId="0" fillId="0" borderId="33" xfId="0" applyBorder="1"/>
    <xf numFmtId="0" fontId="0" fillId="0" borderId="38" xfId="0" applyBorder="1"/>
    <xf numFmtId="0" fontId="0" fillId="0" borderId="34" xfId="0" applyBorder="1"/>
    <xf numFmtId="0" fontId="1" fillId="12" borderId="40" xfId="0" applyFont="1" applyFill="1" applyBorder="1"/>
    <xf numFmtId="0" fontId="13" fillId="8" borderId="12" xfId="0" applyFont="1" applyFill="1" applyBorder="1" applyAlignment="1" applyProtection="1">
      <alignment horizontal="center" vertical="center" wrapText="1"/>
      <protection locked="0"/>
    </xf>
    <xf numFmtId="0" fontId="13" fillId="13" borderId="3" xfId="0" applyFont="1" applyFill="1" applyBorder="1" applyAlignment="1">
      <alignment horizontal="center" vertical="center" wrapText="1"/>
    </xf>
    <xf numFmtId="0" fontId="13" fillId="2" borderId="42" xfId="0" applyFont="1" applyFill="1" applyBorder="1" applyAlignment="1">
      <alignment horizontal="left" vertical="center" wrapText="1"/>
    </xf>
    <xf numFmtId="0" fontId="13" fillId="8" borderId="43" xfId="0" applyFont="1" applyFill="1" applyBorder="1" applyAlignment="1" applyProtection="1">
      <alignment vertical="center" wrapText="1"/>
      <protection locked="0"/>
    </xf>
    <xf numFmtId="0" fontId="13" fillId="8" borderId="44" xfId="0" applyFont="1" applyFill="1" applyBorder="1" applyAlignment="1" applyProtection="1">
      <alignment vertical="center" wrapText="1"/>
      <protection locked="0"/>
    </xf>
    <xf numFmtId="0" fontId="1" fillId="8" borderId="39" xfId="0" applyFont="1" applyFill="1" applyBorder="1"/>
    <xf numFmtId="0" fontId="1" fillId="12" borderId="39" xfId="0" applyFont="1" applyFill="1" applyBorder="1"/>
    <xf numFmtId="169" fontId="1" fillId="12" borderId="39" xfId="0" applyNumberFormat="1" applyFont="1" applyFill="1" applyBorder="1"/>
    <xf numFmtId="9" fontId="1" fillId="12" borderId="39" xfId="11" applyFont="1" applyFill="1" applyBorder="1"/>
    <xf numFmtId="166" fontId="1" fillId="12" borderId="39" xfId="0" applyNumberFormat="1" applyFont="1" applyFill="1" applyBorder="1"/>
    <xf numFmtId="170" fontId="1" fillId="12" borderId="39" xfId="11" applyNumberFormat="1" applyFont="1" applyFill="1" applyBorder="1"/>
    <xf numFmtId="0" fontId="13" fillId="2" borderId="44" xfId="0" applyFont="1" applyFill="1" applyBorder="1" applyAlignment="1">
      <alignment horizontal="left" vertical="center" wrapText="1"/>
    </xf>
    <xf numFmtId="0" fontId="0" fillId="2" borderId="13" xfId="0" applyFill="1" applyBorder="1"/>
    <xf numFmtId="0" fontId="0" fillId="2" borderId="14" xfId="0" applyFill="1" applyBorder="1"/>
    <xf numFmtId="0" fontId="0" fillId="2" borderId="0" xfId="0" applyFill="1"/>
    <xf numFmtId="0" fontId="0" fillId="2" borderId="20" xfId="0" applyFill="1" applyBorder="1"/>
    <xf numFmtId="0" fontId="0" fillId="2" borderId="2" xfId="0" applyFill="1" applyBorder="1"/>
    <xf numFmtId="0" fontId="0" fillId="2" borderId="10" xfId="0" applyFill="1" applyBorder="1"/>
    <xf numFmtId="0" fontId="13" fillId="15" borderId="0" xfId="0" applyFont="1" applyFill="1" applyAlignment="1" applyProtection="1">
      <alignment horizontal="center" vertical="center" wrapText="1"/>
      <protection locked="0"/>
    </xf>
    <xf numFmtId="0" fontId="13" fillId="15" borderId="0" xfId="0" applyFont="1" applyFill="1" applyAlignment="1" applyProtection="1">
      <alignment vertical="center" wrapText="1"/>
      <protection locked="0"/>
    </xf>
    <xf numFmtId="0" fontId="0" fillId="15" borderId="0" xfId="0" applyFill="1"/>
    <xf numFmtId="0" fontId="1" fillId="0" borderId="38" xfId="0" applyFont="1" applyBorder="1" applyAlignment="1">
      <alignment horizontal="right" vertical="center"/>
    </xf>
    <xf numFmtId="167" fontId="6" fillId="8" borderId="1" xfId="9" applyNumberFormat="1" applyFont="1" applyFill="1" applyBorder="1" applyAlignment="1" applyProtection="1">
      <alignment vertical="center" wrapText="1"/>
      <protection locked="0"/>
    </xf>
    <xf numFmtId="167" fontId="6" fillId="8" borderId="1" xfId="9" applyNumberFormat="1" applyFont="1" applyFill="1" applyBorder="1" applyAlignment="1" applyProtection="1">
      <alignment horizontal="right" vertical="center" wrapText="1"/>
      <protection locked="0"/>
    </xf>
    <xf numFmtId="0" fontId="0" fillId="12" borderId="1" xfId="0" applyFill="1" applyBorder="1"/>
    <xf numFmtId="0" fontId="0" fillId="16" borderId="0" xfId="0" applyFill="1"/>
    <xf numFmtId="0" fontId="13" fillId="0" borderId="1" xfId="0" quotePrefix="1" applyFont="1" applyBorder="1" applyAlignment="1" applyProtection="1">
      <alignment horizontal="center" vertical="center" wrapText="1"/>
      <protection locked="0"/>
    </xf>
    <xf numFmtId="0" fontId="5" fillId="4" borderId="13" xfId="0" applyFont="1" applyFill="1" applyBorder="1"/>
    <xf numFmtId="0" fontId="13" fillId="12" borderId="4" xfId="0" applyFont="1" applyFill="1" applyBorder="1" applyAlignment="1" applyProtection="1">
      <alignment horizontal="center" vertical="center" wrapText="1"/>
      <protection locked="0"/>
    </xf>
    <xf numFmtId="0" fontId="1" fillId="12" borderId="45" xfId="0" applyFont="1" applyFill="1" applyBorder="1"/>
    <xf numFmtId="166" fontId="1" fillId="12" borderId="45" xfId="0" applyNumberFormat="1" applyFont="1" applyFill="1" applyBorder="1"/>
    <xf numFmtId="171" fontId="1" fillId="12" borderId="40" xfId="0" applyNumberFormat="1" applyFont="1" applyFill="1" applyBorder="1"/>
    <xf numFmtId="172" fontId="0" fillId="0" borderId="1" xfId="9" applyNumberFormat="1" applyFont="1" applyFill="1" applyBorder="1" applyAlignment="1">
      <alignment vertical="center"/>
    </xf>
    <xf numFmtId="0" fontId="34" fillId="2"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left"/>
    </xf>
    <xf numFmtId="0" fontId="34" fillId="2" borderId="1" xfId="0" applyFont="1" applyFill="1" applyBorder="1" applyAlignment="1">
      <alignment horizontal="left" vertical="center"/>
    </xf>
    <xf numFmtId="0" fontId="1" fillId="0" borderId="0" xfId="0" applyFont="1"/>
    <xf numFmtId="0" fontId="35" fillId="2" borderId="21" xfId="0" applyFont="1" applyFill="1" applyBorder="1" applyAlignment="1">
      <alignment horizontal="left"/>
    </xf>
    <xf numFmtId="0" fontId="36" fillId="0" borderId="0" xfId="0" applyFont="1"/>
    <xf numFmtId="0" fontId="3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1" fillId="0" borderId="47" xfId="0" applyFont="1" applyBorder="1" applyAlignment="1">
      <alignment horizontal="left"/>
    </xf>
    <xf numFmtId="0" fontId="1" fillId="0" borderId="47" xfId="0" applyFont="1" applyBorder="1" applyAlignment="1">
      <alignment horizontal="left" wrapText="1"/>
    </xf>
    <xf numFmtId="0" fontId="1" fillId="0" borderId="48" xfId="0" applyFont="1" applyBorder="1" applyAlignment="1">
      <alignment horizontal="left"/>
    </xf>
    <xf numFmtId="0" fontId="1" fillId="0" borderId="48" xfId="0" applyFont="1" applyBorder="1" applyAlignment="1">
      <alignment horizontal="left" wrapText="1"/>
    </xf>
    <xf numFmtId="0" fontId="35" fillId="2" borderId="21" xfId="0" applyFont="1" applyFill="1" applyBorder="1" applyAlignment="1">
      <alignment horizontal="left" wrapText="1"/>
    </xf>
    <xf numFmtId="0" fontId="1" fillId="0" borderId="46" xfId="0" applyFont="1" applyBorder="1" applyAlignment="1">
      <alignment horizontal="left" wrapText="1"/>
    </xf>
    <xf numFmtId="0" fontId="38" fillId="0" borderId="0" xfId="0" applyFont="1"/>
    <xf numFmtId="0" fontId="35" fillId="2" borderId="26" xfId="0" applyFont="1" applyFill="1" applyBorder="1" applyAlignment="1">
      <alignment horizontal="left" wrapText="1"/>
    </xf>
    <xf numFmtId="0" fontId="1" fillId="0" borderId="32" xfId="0" applyFont="1" applyBorder="1" applyAlignment="1">
      <alignment horizontal="left" wrapText="1"/>
    </xf>
    <xf numFmtId="0" fontId="1" fillId="0" borderId="33" xfId="0" applyFont="1" applyBorder="1" applyAlignment="1">
      <alignment horizontal="left" wrapText="1"/>
    </xf>
    <xf numFmtId="9" fontId="38" fillId="0" borderId="0" xfId="11" applyFont="1"/>
    <xf numFmtId="0" fontId="35" fillId="2" borderId="26" xfId="0" applyFont="1" applyFill="1" applyBorder="1" applyAlignment="1">
      <alignment horizontal="left"/>
    </xf>
    <xf numFmtId="0" fontId="1" fillId="0" borderId="34" xfId="0" applyFont="1" applyBorder="1" applyAlignment="1">
      <alignment horizontal="left" wrapText="1"/>
    </xf>
    <xf numFmtId="0" fontId="1" fillId="0" borderId="32" xfId="0" applyFont="1" applyBorder="1" applyAlignment="1">
      <alignment horizontal="left"/>
    </xf>
    <xf numFmtId="0" fontId="1" fillId="0" borderId="49" xfId="0" applyFont="1" applyBorder="1" applyAlignment="1">
      <alignment horizontal="left" wrapText="1"/>
    </xf>
    <xf numFmtId="0" fontId="35" fillId="2" borderId="22" xfId="0" applyFont="1" applyFill="1" applyBorder="1" applyAlignment="1">
      <alignment horizontal="left" wrapText="1"/>
    </xf>
    <xf numFmtId="0" fontId="1" fillId="0" borderId="31" xfId="0" applyFont="1" applyBorder="1" applyAlignment="1">
      <alignment horizontal="left" wrapText="1"/>
    </xf>
    <xf numFmtId="0" fontId="35" fillId="2" borderId="50" xfId="0" applyFont="1" applyFill="1" applyBorder="1" applyAlignment="1">
      <alignment horizontal="left"/>
    </xf>
    <xf numFmtId="0" fontId="1" fillId="0" borderId="1" xfId="0" applyFont="1" applyBorder="1" applyAlignment="1">
      <alignment horizontal="left"/>
    </xf>
    <xf numFmtId="0" fontId="1" fillId="0" borderId="51" xfId="0" applyFont="1" applyBorder="1" applyAlignment="1">
      <alignment horizontal="left"/>
    </xf>
    <xf numFmtId="0" fontId="1" fillId="0" borderId="28" xfId="0" applyFont="1" applyBorder="1" applyAlignment="1">
      <alignment horizontal="left" wrapText="1"/>
    </xf>
    <xf numFmtId="0" fontId="1" fillId="0" borderId="5" xfId="0" applyFont="1" applyBorder="1" applyAlignment="1">
      <alignment horizontal="right" vertical="center"/>
    </xf>
    <xf numFmtId="0" fontId="1" fillId="0" borderId="52" xfId="0" applyFont="1" applyBorder="1" applyAlignment="1">
      <alignment horizontal="right" vertical="center"/>
    </xf>
    <xf numFmtId="0" fontId="0" fillId="0" borderId="53" xfId="0" applyBorder="1" applyAlignment="1">
      <alignment horizontal="right"/>
    </xf>
    <xf numFmtId="0" fontId="0" fillId="2" borderId="40" xfId="0" applyFill="1" applyBorder="1" applyAlignment="1">
      <alignment horizontal="center"/>
    </xf>
    <xf numFmtId="0" fontId="0" fillId="12" borderId="56" xfId="0" applyFill="1" applyBorder="1" applyAlignment="1">
      <alignment horizontal="center"/>
    </xf>
    <xf numFmtId="0" fontId="0" fillId="12" borderId="58" xfId="0" applyFill="1" applyBorder="1" applyAlignment="1">
      <alignment horizontal="center"/>
    </xf>
    <xf numFmtId="0" fontId="0" fillId="12" borderId="55" xfId="0" applyFill="1" applyBorder="1" applyAlignment="1">
      <alignment horizontal="center"/>
    </xf>
    <xf numFmtId="0" fontId="0" fillId="2" borderId="55" xfId="0" applyFill="1" applyBorder="1" applyAlignment="1">
      <alignment horizontal="center"/>
    </xf>
    <xf numFmtId="0" fontId="0" fillId="2" borderId="30" xfId="0" applyFill="1" applyBorder="1" applyAlignment="1">
      <alignment horizontal="center"/>
    </xf>
    <xf numFmtId="0" fontId="0" fillId="2" borderId="41" xfId="0" applyFill="1" applyBorder="1"/>
    <xf numFmtId="0" fontId="0" fillId="2" borderId="30" xfId="0" applyFill="1" applyBorder="1"/>
    <xf numFmtId="0" fontId="1" fillId="12" borderId="8" xfId="0" applyFont="1" applyFill="1" applyBorder="1"/>
    <xf numFmtId="0" fontId="0" fillId="8" borderId="3" xfId="0" applyFill="1" applyBorder="1"/>
    <xf numFmtId="0" fontId="0" fillId="8" borderId="30" xfId="0" applyFill="1" applyBorder="1"/>
    <xf numFmtId="0" fontId="0" fillId="2" borderId="53" xfId="0" applyFill="1" applyBorder="1" applyAlignment="1">
      <alignment horizontal="center"/>
    </xf>
    <xf numFmtId="0" fontId="0" fillId="12" borderId="56" xfId="0" applyFill="1" applyBorder="1" applyAlignment="1">
      <alignment horizontal="right" wrapText="1"/>
    </xf>
    <xf numFmtId="0" fontId="0" fillId="12" borderId="57" xfId="0" applyFill="1" applyBorder="1" applyAlignment="1">
      <alignment horizontal="right" wrapText="1"/>
    </xf>
    <xf numFmtId="0" fontId="12" fillId="12" borderId="10" xfId="0" applyFont="1" applyFill="1" applyBorder="1" applyAlignment="1">
      <alignment horizontal="right"/>
    </xf>
    <xf numFmtId="0" fontId="0" fillId="12" borderId="8" xfId="0" applyFill="1" applyBorder="1" applyAlignment="1">
      <alignment horizontal="right"/>
    </xf>
    <xf numFmtId="0" fontId="0" fillId="12" borderId="46" xfId="0" applyFill="1" applyBorder="1" applyAlignment="1">
      <alignment horizontal="right"/>
    </xf>
    <xf numFmtId="0" fontId="1" fillId="8" borderId="58" xfId="0" applyFont="1" applyFill="1" applyBorder="1" applyAlignment="1">
      <alignment horizontal="right" wrapText="1"/>
    </xf>
    <xf numFmtId="0" fontId="1" fillId="8" borderId="39" xfId="0" applyFont="1" applyFill="1" applyBorder="1" applyAlignment="1">
      <alignment horizontal="right" wrapText="1"/>
    </xf>
    <xf numFmtId="0" fontId="38" fillId="8" borderId="5" xfId="0" applyFont="1" applyFill="1" applyBorder="1" applyAlignment="1">
      <alignment horizontal="right"/>
    </xf>
    <xf numFmtId="0" fontId="1" fillId="8" borderId="3" xfId="0" applyFont="1" applyFill="1" applyBorder="1" applyAlignment="1">
      <alignment horizontal="right"/>
    </xf>
    <xf numFmtId="0" fontId="0" fillId="12" borderId="47" xfId="0" applyFill="1" applyBorder="1" applyAlignment="1">
      <alignment horizontal="right"/>
    </xf>
    <xf numFmtId="0" fontId="1" fillId="8" borderId="55" xfId="0" applyFont="1" applyFill="1" applyBorder="1" applyAlignment="1">
      <alignment horizontal="right" wrapText="1"/>
    </xf>
    <xf numFmtId="0" fontId="1" fillId="8" borderId="40" xfId="0" applyFont="1" applyFill="1" applyBorder="1" applyAlignment="1">
      <alignment horizontal="right" wrapText="1"/>
    </xf>
    <xf numFmtId="0" fontId="38" fillId="8" borderId="53" xfId="0" applyFont="1" applyFill="1" applyBorder="1" applyAlignment="1">
      <alignment horizontal="right"/>
    </xf>
    <xf numFmtId="0" fontId="1" fillId="8" borderId="30" xfId="0" applyFont="1" applyFill="1" applyBorder="1" applyAlignment="1">
      <alignment horizontal="right"/>
    </xf>
    <xf numFmtId="0" fontId="0" fillId="12" borderId="48" xfId="0" applyFill="1" applyBorder="1" applyAlignment="1">
      <alignment horizontal="right"/>
    </xf>
    <xf numFmtId="166" fontId="0" fillId="12" borderId="56" xfId="0" applyNumberFormat="1" applyFill="1" applyBorder="1" applyAlignment="1">
      <alignment horizontal="right"/>
    </xf>
    <xf numFmtId="0" fontId="0" fillId="12" borderId="58" xfId="0" applyFill="1" applyBorder="1" applyAlignment="1">
      <alignment horizontal="right"/>
    </xf>
    <xf numFmtId="0" fontId="0" fillId="12" borderId="55" xfId="0" applyFill="1" applyBorder="1" applyAlignment="1">
      <alignment horizontal="right"/>
    </xf>
    <xf numFmtId="0" fontId="0" fillId="12" borderId="40" xfId="0" applyFill="1" applyBorder="1" applyAlignment="1">
      <alignment horizontal="center"/>
    </xf>
    <xf numFmtId="166" fontId="0" fillId="12" borderId="57" xfId="0" applyNumberFormat="1" applyFill="1" applyBorder="1" applyAlignment="1">
      <alignment horizontal="center"/>
    </xf>
    <xf numFmtId="0" fontId="0" fillId="12" borderId="61" xfId="0" applyFill="1" applyBorder="1" applyAlignment="1">
      <alignment horizontal="left"/>
    </xf>
    <xf numFmtId="0" fontId="0" fillId="12" borderId="50" xfId="0" applyFill="1" applyBorder="1"/>
    <xf numFmtId="0" fontId="1" fillId="12" borderId="50" xfId="0" applyFont="1" applyFill="1" applyBorder="1" applyAlignment="1">
      <alignment horizontal="left" wrapText="1"/>
    </xf>
    <xf numFmtId="0" fontId="38" fillId="12" borderId="50" xfId="0" applyFont="1" applyFill="1" applyBorder="1"/>
    <xf numFmtId="0" fontId="1" fillId="12" borderId="50" xfId="0" applyFont="1" applyFill="1" applyBorder="1"/>
    <xf numFmtId="0" fontId="0" fillId="8" borderId="62" xfId="0" applyFill="1" applyBorder="1"/>
    <xf numFmtId="0" fontId="13" fillId="5" borderId="1" xfId="9" applyNumberFormat="1" applyFont="1" applyFill="1" applyBorder="1" applyAlignment="1" applyProtection="1">
      <alignment vertical="center" wrapText="1"/>
      <protection hidden="1"/>
    </xf>
    <xf numFmtId="0" fontId="39" fillId="0" borderId="0" xfId="0" applyFont="1"/>
    <xf numFmtId="0" fontId="20" fillId="2" borderId="3" xfId="0" applyFont="1" applyFill="1" applyBorder="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1" fillId="8" borderId="1" xfId="0" applyFont="1" applyFill="1" applyBorder="1" applyAlignment="1">
      <alignment horizontal="center" vertical="center"/>
    </xf>
    <xf numFmtId="0" fontId="38" fillId="5" borderId="1" xfId="9" applyNumberFormat="1" applyFont="1" applyFill="1" applyBorder="1" applyAlignment="1" applyProtection="1">
      <alignment horizontal="center" vertical="center" wrapText="1"/>
      <protection hidden="1"/>
    </xf>
    <xf numFmtId="173" fontId="1" fillId="12" borderId="39" xfId="0" applyNumberFormat="1" applyFont="1" applyFill="1" applyBorder="1"/>
    <xf numFmtId="173" fontId="1" fillId="12" borderId="40" xfId="0" applyNumberFormat="1" applyFont="1" applyFill="1" applyBorder="1"/>
    <xf numFmtId="0" fontId="35" fillId="2" borderId="23" xfId="0" applyFont="1" applyFill="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 fillId="0" borderId="38" xfId="0" applyFont="1" applyBorder="1" applyAlignment="1">
      <alignment horizontal="left"/>
    </xf>
    <xf numFmtId="0" fontId="1" fillId="0" borderId="63" xfId="0" applyFont="1" applyBorder="1" applyAlignment="1">
      <alignment horizontal="left"/>
    </xf>
    <xf numFmtId="0" fontId="35" fillId="2" borderId="23" xfId="0" applyFont="1" applyFill="1" applyBorder="1" applyAlignment="1">
      <alignment horizontal="left" wrapText="1"/>
    </xf>
    <xf numFmtId="0" fontId="1" fillId="0" borderId="35" xfId="0" applyFont="1" applyBorder="1" applyAlignment="1">
      <alignment horizontal="center" wrapText="1"/>
    </xf>
    <xf numFmtId="0" fontId="1" fillId="0" borderId="3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5" xfId="0" applyFont="1" applyBorder="1" applyAlignment="1">
      <alignment horizontal="center" wrapText="1"/>
    </xf>
    <xf numFmtId="0" fontId="35" fillId="2" borderId="22" xfId="0" applyFont="1" applyFill="1" applyBorder="1" applyAlignment="1">
      <alignment horizontal="center" wrapText="1"/>
    </xf>
    <xf numFmtId="0" fontId="1" fillId="0" borderId="31" xfId="0" applyFont="1" applyBorder="1" applyAlignment="1">
      <alignment horizontal="center" wrapText="1"/>
    </xf>
    <xf numFmtId="0" fontId="1" fillId="0" borderId="29" xfId="0" applyFont="1" applyBorder="1" applyAlignment="1">
      <alignment horizontal="center" wrapText="1"/>
    </xf>
    <xf numFmtId="0" fontId="13" fillId="8" borderId="3" xfId="0"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protection locked="0"/>
    </xf>
    <xf numFmtId="9" fontId="13" fillId="8" borderId="1" xfId="0" applyNumberFormat="1" applyFont="1" applyFill="1" applyBorder="1" applyAlignment="1" applyProtection="1">
      <alignment horizontal="center" vertical="center" wrapText="1"/>
      <protection locked="0"/>
    </xf>
    <xf numFmtId="0" fontId="1" fillId="0" borderId="64" xfId="0" applyFont="1" applyBorder="1" applyAlignment="1">
      <alignment horizontal="left"/>
    </xf>
    <xf numFmtId="0" fontId="1" fillId="0" borderId="24" xfId="0" applyFont="1" applyBorder="1" applyAlignment="1">
      <alignment horizontal="center" wrapText="1"/>
    </xf>
    <xf numFmtId="0" fontId="1" fillId="0" borderId="1" xfId="0" applyFont="1" applyBorder="1" applyAlignment="1">
      <alignment horizontal="right" vertical="center"/>
    </xf>
    <xf numFmtId="0" fontId="1" fillId="8" borderId="39" xfId="0" applyFont="1" applyFill="1" applyBorder="1" applyAlignment="1">
      <alignment horizontal="center"/>
    </xf>
    <xf numFmtId="0" fontId="0" fillId="0" borderId="24" xfId="0" applyBorder="1"/>
    <xf numFmtId="0" fontId="0" fillId="0" borderId="63" xfId="0" applyBorder="1"/>
    <xf numFmtId="0" fontId="0" fillId="0" borderId="25" xfId="0" applyBorder="1"/>
    <xf numFmtId="0" fontId="0" fillId="0" borderId="0" xfId="0" applyAlignment="1">
      <alignment horizontal="center"/>
    </xf>
    <xf numFmtId="0" fontId="0" fillId="0" borderId="0" xfId="0" applyAlignment="1">
      <alignment horizontal="center" vertical="center"/>
    </xf>
    <xf numFmtId="166" fontId="0" fillId="0" borderId="0" xfId="0" applyNumberFormat="1" applyAlignment="1">
      <alignment horizontal="center"/>
    </xf>
    <xf numFmtId="1" fontId="0" fillId="0" borderId="0" xfId="0" applyNumberFormat="1" applyAlignment="1">
      <alignment horizontal="center"/>
    </xf>
    <xf numFmtId="166" fontId="0" fillId="0" borderId="0" xfId="0" quotePrefix="1" applyNumberFormat="1" applyAlignment="1">
      <alignment horizontal="center"/>
    </xf>
    <xf numFmtId="1" fontId="0" fillId="0" borderId="0" xfId="0" quotePrefix="1" applyNumberFormat="1" applyAlignment="1">
      <alignment horizontal="center"/>
    </xf>
    <xf numFmtId="0" fontId="0" fillId="0" borderId="0" xfId="0" applyAlignment="1">
      <alignment horizontal="center" wrapText="1"/>
    </xf>
    <xf numFmtId="2" fontId="0" fillId="0" borderId="0" xfId="0" applyNumberFormat="1" applyAlignment="1">
      <alignment horizontal="center"/>
    </xf>
    <xf numFmtId="2" fontId="0" fillId="0" borderId="0" xfId="0" quotePrefix="1" applyNumberFormat="1" applyAlignment="1">
      <alignment horizontal="center"/>
    </xf>
    <xf numFmtId="0" fontId="0" fillId="0" borderId="0" xfId="0" applyAlignment="1">
      <alignment horizontal="center" vertical="center" wrapText="1"/>
    </xf>
    <xf numFmtId="2" fontId="5" fillId="6" borderId="1" xfId="8" applyNumberFormat="1" applyFill="1" applyBorder="1" applyAlignment="1">
      <alignment horizontal="center" wrapText="1"/>
    </xf>
    <xf numFmtId="166" fontId="5" fillId="6" borderId="1" xfId="8" applyNumberFormat="1" applyFill="1" applyBorder="1" applyAlignment="1">
      <alignment horizontal="center" wrapText="1"/>
    </xf>
    <xf numFmtId="0" fontId="0" fillId="10" borderId="0" xfId="0" applyFill="1" applyAlignment="1">
      <alignment horizontal="left" wrapText="1"/>
    </xf>
    <xf numFmtId="0" fontId="0" fillId="10" borderId="2" xfId="0" applyFill="1" applyBorder="1" applyAlignment="1">
      <alignment horizontal="left"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168" fontId="6" fillId="8" borderId="3" xfId="9" applyNumberFormat="1" applyFont="1" applyFill="1" applyBorder="1" applyAlignment="1" applyProtection="1">
      <alignment horizontal="center" vertical="center" wrapText="1"/>
      <protection locked="0"/>
    </xf>
    <xf numFmtId="168" fontId="6" fillId="8" borderId="5" xfId="9" applyNumberFormat="1" applyFont="1" applyFill="1" applyBorder="1" applyAlignment="1" applyProtection="1">
      <alignment horizontal="center" vertical="center" wrapText="1"/>
      <protection locked="0"/>
    </xf>
    <xf numFmtId="168" fontId="6" fillId="5" borderId="3" xfId="9" applyNumberFormat="1" applyFont="1" applyFill="1" applyBorder="1" applyAlignment="1" applyProtection="1">
      <alignment horizontal="center" vertical="center" wrapText="1"/>
      <protection hidden="1"/>
    </xf>
    <xf numFmtId="168" fontId="6" fillId="5" borderId="5" xfId="9" applyNumberFormat="1" applyFont="1" applyFill="1" applyBorder="1" applyAlignment="1" applyProtection="1">
      <alignment horizontal="center" vertical="center" wrapText="1"/>
      <protection hidden="1"/>
    </xf>
    <xf numFmtId="167" fontId="6" fillId="5" borderId="3" xfId="9" applyNumberFormat="1" applyFont="1" applyFill="1" applyBorder="1" applyAlignment="1" applyProtection="1">
      <alignment horizontal="center" vertical="center" wrapText="1"/>
      <protection hidden="1"/>
    </xf>
    <xf numFmtId="167" fontId="6" fillId="5" borderId="5" xfId="9" applyNumberFormat="1" applyFont="1" applyFill="1" applyBorder="1" applyAlignment="1" applyProtection="1">
      <alignment horizontal="center" vertical="center" wrapText="1"/>
      <protection hidden="1"/>
    </xf>
    <xf numFmtId="0" fontId="7" fillId="2" borderId="1" xfId="0" applyFont="1" applyFill="1" applyBorder="1" applyAlignment="1">
      <alignmen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1" fillId="8" borderId="9" xfId="0" applyFont="1" applyFill="1" applyBorder="1" applyAlignment="1">
      <alignment horizontal="center"/>
    </xf>
    <xf numFmtId="0" fontId="1" fillId="8" borderId="1" xfId="0" applyFont="1" applyFill="1" applyBorder="1" applyAlignment="1">
      <alignment horizontal="center"/>
    </xf>
    <xf numFmtId="0" fontId="1" fillId="8" borderId="51" xfId="0" applyFont="1" applyFill="1" applyBorder="1" applyAlignment="1">
      <alignment horizontal="center"/>
    </xf>
    <xf numFmtId="0" fontId="1" fillId="8" borderId="41" xfId="0" applyFont="1" applyFill="1" applyBorder="1" applyAlignment="1">
      <alignment horizontal="center"/>
    </xf>
    <xf numFmtId="0" fontId="1" fillId="8" borderId="37" xfId="0" applyFont="1" applyFill="1" applyBorder="1" applyAlignment="1">
      <alignment horizontal="center"/>
    </xf>
    <xf numFmtId="0" fontId="1" fillId="8" borderId="3" xfId="0" applyFont="1" applyFill="1" applyBorder="1" applyAlignment="1">
      <alignment horizontal="center"/>
    </xf>
    <xf numFmtId="0" fontId="1" fillId="8" borderId="29" xfId="0" applyFont="1" applyFill="1" applyBorder="1" applyAlignment="1">
      <alignment horizontal="center"/>
    </xf>
    <xf numFmtId="0" fontId="1" fillId="12" borderId="1" xfId="0" applyFont="1" applyFill="1" applyBorder="1" applyAlignment="1">
      <alignment horizontal="center"/>
    </xf>
    <xf numFmtId="9" fontId="1" fillId="8" borderId="30" xfId="11" applyFont="1" applyFill="1" applyBorder="1" applyAlignment="1">
      <alignment horizontal="center"/>
    </xf>
    <xf numFmtId="9" fontId="1" fillId="8" borderId="31" xfId="11" applyFont="1" applyFill="1" applyBorder="1" applyAlignment="1">
      <alignment horizontal="center"/>
    </xf>
    <xf numFmtId="0" fontId="0" fillId="2" borderId="54" xfId="0" applyFill="1" applyBorder="1" applyAlignment="1">
      <alignment horizontal="center"/>
    </xf>
    <xf numFmtId="0" fontId="0" fillId="2" borderId="60" xfId="0" applyFill="1" applyBorder="1" applyAlignment="1">
      <alignment horizontal="center"/>
    </xf>
    <xf numFmtId="0" fontId="0" fillId="2" borderId="52" xfId="0" applyFill="1" applyBorder="1" applyAlignment="1">
      <alignment horizontal="center"/>
    </xf>
    <xf numFmtId="0" fontId="0" fillId="2" borderId="41"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59"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54" xfId="0" applyFill="1" applyBorder="1" applyAlignment="1">
      <alignment horizontal="center" wrapText="1"/>
    </xf>
    <xf numFmtId="0" fontId="0" fillId="2" borderId="55" xfId="0" applyFill="1" applyBorder="1" applyAlignment="1">
      <alignment horizont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3" fillId="0" borderId="1" xfId="0" applyFont="1" applyBorder="1" applyAlignment="1" applyProtection="1">
      <alignment vertical="top" wrapText="1"/>
      <protection locked="0"/>
    </xf>
    <xf numFmtId="0" fontId="13" fillId="0" borderId="1" xfId="0" applyFont="1" applyBorder="1" applyAlignment="1" applyProtection="1">
      <alignment vertical="center" wrapText="1"/>
      <protection locked="0"/>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1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textRotation="90"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12" borderId="1" xfId="0" applyFont="1" applyFill="1" applyBorder="1" applyAlignment="1" applyProtection="1">
      <alignment vertical="center" wrapText="1"/>
      <protection locked="0"/>
    </xf>
    <xf numFmtId="0" fontId="20" fillId="2" borderId="5" xfId="0" applyFont="1" applyFill="1" applyBorder="1" applyAlignment="1">
      <alignment horizontal="left"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12" borderId="3" xfId="0" applyFont="1" applyFill="1" applyBorder="1" applyAlignment="1" applyProtection="1">
      <alignment horizontal="center" vertical="center" wrapText="1"/>
      <protection locked="0"/>
    </xf>
    <xf numFmtId="0" fontId="13" fillId="12" borderId="5" xfId="0" applyFont="1" applyFill="1" applyBorder="1" applyAlignment="1" applyProtection="1">
      <alignment horizontal="center" vertical="center" wrapText="1"/>
      <protection locked="0"/>
    </xf>
    <xf numFmtId="0" fontId="13" fillId="8" borderId="3"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5" xfId="0" applyFont="1" applyFill="1" applyBorder="1" applyAlignment="1">
      <alignment horizontal="left" vertical="center" wrapText="1"/>
    </xf>
    <xf numFmtId="49" fontId="13" fillId="8" borderId="3" xfId="0" applyNumberFormat="1" applyFont="1" applyFill="1" applyBorder="1" applyAlignment="1" applyProtection="1">
      <alignment horizontal="center" vertical="center" wrapText="1"/>
      <protection hidden="1"/>
    </xf>
    <xf numFmtId="49" fontId="13" fillId="8" borderId="5" xfId="0" applyNumberFormat="1"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13" fillId="2" borderId="19" xfId="0" applyFont="1" applyFill="1" applyBorder="1" applyAlignment="1">
      <alignment horizontal="center" vertical="center" wrapText="1"/>
    </xf>
    <xf numFmtId="0" fontId="13" fillId="14" borderId="1" xfId="0" applyFont="1" applyFill="1" applyBorder="1" applyAlignment="1" applyProtection="1">
      <alignment horizontal="center" vertical="center" wrapText="1"/>
      <protection locked="0"/>
    </xf>
    <xf numFmtId="0" fontId="13" fillId="14" borderId="43" xfId="0" applyFont="1" applyFill="1" applyBorder="1" applyAlignment="1" applyProtection="1">
      <alignment horizontal="center" vertical="center" wrapText="1"/>
      <protection locked="0"/>
    </xf>
    <xf numFmtId="0" fontId="13" fillId="14" borderId="44" xfId="0" applyFont="1" applyFill="1" applyBorder="1" applyAlignment="1" applyProtection="1">
      <alignment horizontal="center" vertical="center" wrapText="1"/>
      <protection locked="0"/>
    </xf>
    <xf numFmtId="2" fontId="13" fillId="8" borderId="3" xfId="0" applyNumberFormat="1" applyFont="1" applyFill="1" applyBorder="1" applyAlignment="1" applyProtection="1">
      <alignment horizontal="left" vertical="center" wrapText="1"/>
      <protection hidden="1"/>
    </xf>
    <xf numFmtId="2" fontId="13" fillId="8" borderId="5" xfId="0" applyNumberFormat="1" applyFont="1" applyFill="1" applyBorder="1" applyAlignment="1" applyProtection="1">
      <alignment horizontal="left" vertical="center" wrapText="1"/>
      <protection hidden="1"/>
    </xf>
    <xf numFmtId="0" fontId="13" fillId="8" borderId="3" xfId="0" applyFont="1" applyFill="1" applyBorder="1" applyAlignment="1" applyProtection="1">
      <alignment horizontal="left" vertical="center" wrapText="1"/>
      <protection locked="0"/>
    </xf>
    <xf numFmtId="0" fontId="13" fillId="8" borderId="5" xfId="0" applyFont="1" applyFill="1" applyBorder="1" applyAlignment="1" applyProtection="1">
      <alignment horizontal="left" vertical="center" wrapText="1"/>
      <protection locked="0"/>
    </xf>
    <xf numFmtId="0" fontId="13" fillId="8" borderId="8"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1" fillId="0" borderId="28" xfId="0" applyFont="1" applyBorder="1" applyAlignment="1">
      <alignment horizontal="center" wrapText="1"/>
    </xf>
    <xf numFmtId="0" fontId="1" fillId="0" borderId="25" xfId="0" applyFont="1" applyBorder="1" applyAlignment="1">
      <alignment horizontal="center"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1" fillId="0" borderId="49" xfId="0" applyFont="1" applyBorder="1" applyAlignment="1">
      <alignment horizontal="left" wrapText="1"/>
    </xf>
    <xf numFmtId="0" fontId="1" fillId="0" borderId="24" xfId="0" applyFont="1" applyBorder="1" applyAlignment="1">
      <alignment horizontal="left" wrapText="1"/>
    </xf>
    <xf numFmtId="0" fontId="1" fillId="0" borderId="33" xfId="0" applyFont="1" applyBorder="1" applyAlignment="1">
      <alignment horizontal="left" wrapText="1"/>
    </xf>
    <xf numFmtId="0" fontId="1" fillId="0" borderId="31" xfId="0" applyFont="1" applyBorder="1" applyAlignment="1">
      <alignment horizontal="left" wrapText="1"/>
    </xf>
    <xf numFmtId="0" fontId="4" fillId="0" borderId="26"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5" fillId="0" borderId="26" xfId="0" applyFont="1" applyBorder="1" applyAlignment="1">
      <alignment horizontal="lef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0" fontId="4" fillId="0" borderId="26" xfId="0" applyFont="1" applyBorder="1" applyAlignment="1">
      <alignment vertical="center" wrapText="1"/>
    </xf>
    <xf numFmtId="0" fontId="4" fillId="0" borderId="23" xfId="0" applyFont="1" applyBorder="1" applyAlignment="1">
      <alignment vertical="center" wrapText="1"/>
    </xf>
    <xf numFmtId="0" fontId="4" fillId="0" borderId="22"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8" xfId="0" applyFont="1" applyBorder="1" applyAlignment="1">
      <alignment vertical="center" wrapText="1"/>
    </xf>
    <xf numFmtId="0" fontId="5" fillId="0" borderId="25" xfId="0" applyFont="1" applyBorder="1" applyAlignment="1">
      <alignment vertical="center"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8" xfId="0" applyFont="1" applyBorder="1" applyAlignment="1">
      <alignment horizontal="center"/>
    </xf>
    <xf numFmtId="0" fontId="1" fillId="0" borderId="35" xfId="0" applyFont="1" applyBorder="1" applyAlignment="1">
      <alignment horizontal="center"/>
    </xf>
    <xf numFmtId="0" fontId="1" fillId="0" borderId="3" xfId="0" applyFont="1" applyBorder="1" applyAlignment="1">
      <alignment horizontal="center"/>
    </xf>
    <xf numFmtId="0" fontId="1" fillId="0" borderId="29" xfId="0" applyFont="1" applyBorder="1" applyAlignment="1">
      <alignment horizontal="center"/>
    </xf>
    <xf numFmtId="0" fontId="17"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2" borderId="5" xfId="0" applyFont="1" applyFill="1" applyBorder="1" applyAlignment="1">
      <alignment vertical="center" wrapText="1"/>
    </xf>
    <xf numFmtId="168" fontId="6" fillId="0" borderId="3" xfId="9" applyNumberFormat="1" applyFont="1" applyBorder="1" applyAlignment="1" applyProtection="1">
      <alignment horizontal="center" vertical="center" wrapText="1"/>
      <protection locked="0"/>
    </xf>
    <xf numFmtId="168" fontId="6" fillId="0" borderId="5" xfId="9" applyNumberFormat="1" applyFont="1" applyBorder="1" applyAlignment="1" applyProtection="1">
      <alignment horizontal="center" vertical="center" wrapText="1"/>
      <protection locked="0"/>
    </xf>
    <xf numFmtId="0" fontId="6" fillId="5" borderId="15" xfId="0" applyFont="1" applyFill="1" applyBorder="1" applyAlignment="1" applyProtection="1">
      <alignment horizontal="right" wrapText="1"/>
      <protection hidden="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8" borderId="4" xfId="0" applyFont="1" applyFill="1" applyBorder="1" applyAlignment="1" applyProtection="1">
      <alignment horizontal="center" vertical="center" wrapText="1"/>
      <protection locked="0"/>
    </xf>
    <xf numFmtId="0" fontId="19" fillId="2" borderId="1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20" fillId="2" borderId="1" xfId="0" applyFont="1" applyFill="1" applyBorder="1" applyAlignment="1">
      <alignment vertical="center" wrapText="1"/>
    </xf>
    <xf numFmtId="0" fontId="2" fillId="2" borderId="15" xfId="8" applyFont="1" applyFill="1" applyBorder="1" applyAlignment="1">
      <alignment horizontal="center" vertical="center" textRotation="90" wrapText="1"/>
    </xf>
    <xf numFmtId="0" fontId="2" fillId="2" borderId="11" xfId="8" applyFont="1" applyFill="1" applyBorder="1" applyAlignment="1">
      <alignment horizontal="center" vertical="center" textRotation="90" wrapText="1"/>
    </xf>
    <xf numFmtId="0" fontId="2" fillId="2" borderId="3" xfId="8" applyFont="1" applyFill="1" applyBorder="1" applyAlignment="1">
      <alignment horizontal="right" vertical="center" wrapText="1"/>
    </xf>
    <xf numFmtId="0" fontId="2" fillId="2" borderId="4" xfId="8" applyFont="1" applyFill="1" applyBorder="1" applyAlignment="1">
      <alignment horizontal="right" vertical="center" wrapText="1"/>
    </xf>
    <xf numFmtId="0" fontId="2" fillId="2" borderId="5" xfId="8" applyFont="1" applyFill="1" applyBorder="1" applyAlignment="1">
      <alignment horizontal="right" vertical="center" wrapText="1"/>
    </xf>
    <xf numFmtId="0" fontId="5" fillId="2" borderId="1" xfId="8" applyFill="1" applyBorder="1" applyAlignment="1">
      <alignment horizontal="center" vertical="center" wrapText="1"/>
    </xf>
    <xf numFmtId="0" fontId="2" fillId="2" borderId="1" xfId="8" applyFont="1" applyFill="1" applyBorder="1" applyAlignment="1">
      <alignment horizontal="right" vertical="center" wrapText="1"/>
    </xf>
    <xf numFmtId="0" fontId="2" fillId="2" borderId="6" xfId="8" applyFont="1" applyFill="1" applyBorder="1" applyAlignment="1">
      <alignment horizontal="right" vertical="center" wrapText="1"/>
    </xf>
    <xf numFmtId="0" fontId="2" fillId="2" borderId="1" xfId="8" applyFont="1" applyFill="1" applyBorder="1" applyAlignment="1">
      <alignment horizontal="center" vertical="center" textRotation="90" wrapText="1"/>
    </xf>
    <xf numFmtId="0" fontId="2" fillId="2" borderId="7" xfId="8" applyFont="1" applyFill="1" applyBorder="1" applyAlignment="1">
      <alignment horizontal="center" vertical="center" wrapText="1"/>
    </xf>
    <xf numFmtId="0" fontId="2" fillId="2" borderId="11" xfId="8" applyFont="1" applyFill="1" applyBorder="1" applyAlignment="1">
      <alignment horizontal="center" vertical="center" wrapText="1"/>
    </xf>
    <xf numFmtId="0" fontId="2" fillId="2" borderId="9" xfId="8" applyFont="1" applyFill="1" applyBorder="1" applyAlignment="1">
      <alignment horizontal="center" vertical="center" wrapText="1"/>
    </xf>
    <xf numFmtId="0" fontId="2" fillId="2" borderId="8" xfId="8" applyFont="1" applyFill="1" applyBorder="1" applyAlignment="1">
      <alignment horizontal="right" vertical="center" wrapText="1"/>
    </xf>
    <xf numFmtId="0" fontId="2" fillId="2" borderId="2" xfId="8" applyFont="1" applyFill="1" applyBorder="1" applyAlignment="1">
      <alignment horizontal="right" vertical="center" wrapText="1"/>
    </xf>
    <xf numFmtId="0" fontId="2" fillId="2" borderId="17" xfId="8" applyFont="1" applyFill="1" applyBorder="1" applyAlignment="1">
      <alignment horizontal="right" vertical="center" wrapText="1"/>
    </xf>
    <xf numFmtId="0" fontId="2" fillId="2" borderId="18" xfId="8" applyFont="1" applyFill="1" applyBorder="1" applyAlignment="1">
      <alignment horizontal="right" vertical="center" wrapText="1"/>
    </xf>
    <xf numFmtId="0" fontId="4" fillId="2" borderId="1" xfId="8" applyFont="1" applyFill="1" applyBorder="1" applyAlignment="1">
      <alignment horizontal="center" vertical="center"/>
    </xf>
    <xf numFmtId="0" fontId="2" fillId="2" borderId="15" xfId="8" applyFont="1" applyFill="1" applyBorder="1" applyAlignment="1">
      <alignment horizontal="center" vertical="center" wrapText="1"/>
    </xf>
    <xf numFmtId="0" fontId="2" fillId="2" borderId="15" xfId="8" applyFont="1" applyFill="1" applyBorder="1" applyAlignment="1">
      <alignment horizontal="center" wrapText="1"/>
    </xf>
    <xf numFmtId="0" fontId="2" fillId="2" borderId="16" xfId="8" applyFont="1" applyFill="1" applyBorder="1" applyAlignment="1">
      <alignment horizontal="center" wrapText="1"/>
    </xf>
    <xf numFmtId="2" fontId="13" fillId="5" borderId="3" xfId="8" applyNumberFormat="1" applyFont="1" applyFill="1" applyBorder="1" applyAlignment="1" applyProtection="1">
      <alignment horizontal="center" wrapText="1"/>
      <protection hidden="1"/>
    </xf>
    <xf numFmtId="2" fontId="13" fillId="5" borderId="5" xfId="8" applyNumberFormat="1" applyFont="1" applyFill="1" applyBorder="1" applyAlignment="1" applyProtection="1">
      <alignment horizontal="center" wrapText="1"/>
      <protection hidden="1"/>
    </xf>
    <xf numFmtId="0" fontId="13" fillId="0" borderId="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2" fontId="13" fillId="5" borderId="3" xfId="0" applyNumberFormat="1" applyFont="1" applyFill="1" applyBorder="1" applyAlignment="1" applyProtection="1">
      <alignment horizontal="center" vertical="center" wrapText="1"/>
      <protection hidden="1"/>
    </xf>
    <xf numFmtId="2" fontId="13" fillId="5" borderId="5" xfId="0" applyNumberFormat="1" applyFont="1" applyFill="1" applyBorder="1" applyAlignment="1" applyProtection="1">
      <alignment horizontal="center" vertical="center" wrapText="1"/>
      <protection hidden="1"/>
    </xf>
    <xf numFmtId="0" fontId="19" fillId="2" borderId="4"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0"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2" fontId="13" fillId="5" borderId="3" xfId="0" applyNumberFormat="1" applyFont="1" applyFill="1" applyBorder="1" applyAlignment="1" applyProtection="1">
      <alignment horizontal="left" vertical="center" wrapText="1"/>
      <protection hidden="1"/>
    </xf>
    <xf numFmtId="2" fontId="13" fillId="5" borderId="4" xfId="0" applyNumberFormat="1" applyFont="1" applyFill="1" applyBorder="1" applyAlignment="1" applyProtection="1">
      <alignment horizontal="left" vertical="center" wrapText="1"/>
      <protection hidden="1"/>
    </xf>
    <xf numFmtId="2" fontId="13" fillId="5" borderId="5" xfId="0" applyNumberFormat="1" applyFont="1" applyFill="1" applyBorder="1" applyAlignment="1" applyProtection="1">
      <alignment horizontal="left" vertical="center" wrapText="1"/>
      <protection hidden="1"/>
    </xf>
    <xf numFmtId="0" fontId="13" fillId="2" borderId="20" xfId="0" applyFont="1" applyFill="1" applyBorder="1" applyAlignment="1">
      <alignment horizontal="center" vertical="center" wrapText="1"/>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8" borderId="4" xfId="0" applyFont="1" applyFill="1" applyBorder="1" applyAlignment="1" applyProtection="1">
      <alignment horizontal="left" vertical="center" wrapText="1"/>
      <protection locked="0"/>
    </xf>
    <xf numFmtId="0" fontId="13" fillId="0" borderId="15"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cellXfs>
  <cellStyles count="13">
    <cellStyle name="Comma" xfId="9" builtinId="3"/>
    <cellStyle name="Currency" xfId="10" builtinId="4"/>
    <cellStyle name="Hyperlink" xfId="12" builtinId="8"/>
    <cellStyle name="Normal" xfId="0" builtinId="0"/>
    <cellStyle name="Normal 2" xfId="1" xr:uid="{00000000-0005-0000-0000-000004000000}"/>
    <cellStyle name="Normal 3" xfId="2" xr:uid="{00000000-0005-0000-0000-000005000000}"/>
    <cellStyle name="Normal 3 2" xfId="3" xr:uid="{00000000-0005-0000-0000-000006000000}"/>
    <cellStyle name="Normal 3 3" xfId="4" xr:uid="{00000000-0005-0000-0000-000007000000}"/>
    <cellStyle name="Normal 3 4" xfId="5" xr:uid="{00000000-0005-0000-0000-000008000000}"/>
    <cellStyle name="Normal 4" xfId="6" xr:uid="{00000000-0005-0000-0000-000009000000}"/>
    <cellStyle name="Normal 5" xfId="8" xr:uid="{00000000-0005-0000-0000-00000A000000}"/>
    <cellStyle name="Normal 5 2" xfId="7" xr:uid="{00000000-0005-0000-0000-00000B000000}"/>
    <cellStyle name="Percent" xfId="11" builtinId="5"/>
  </cellStyles>
  <dxfs count="1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59996337778862885"/>
        </patternFill>
      </fill>
    </dxf>
    <dxf>
      <fill>
        <patternFill>
          <bgColor theme="6" tint="0.59996337778862885"/>
        </patternFill>
      </fill>
    </dxf>
    <dxf>
      <fill>
        <patternFill>
          <bgColor rgb="FFFF0000"/>
        </patternFill>
      </fill>
    </dxf>
    <dxf>
      <fill>
        <patternFill>
          <bgColor rgb="FFFF0000"/>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1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xdr:colOff>
      <xdr:row>34</xdr:row>
      <xdr:rowOff>6158</xdr:rowOff>
    </xdr:from>
    <xdr:to>
      <xdr:col>8</xdr:col>
      <xdr:colOff>1344058</xdr:colOff>
      <xdr:row>48</xdr:row>
      <xdr:rowOff>106679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8579" y="6643178"/>
          <a:ext cx="7043819" cy="2660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17</xdr:row>
      <xdr:rowOff>152400</xdr:rowOff>
    </xdr:from>
    <xdr:to>
      <xdr:col>13</xdr:col>
      <xdr:colOff>781050</xdr:colOff>
      <xdr:row>24</xdr:row>
      <xdr:rowOff>114300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52400" y="5238750"/>
          <a:ext cx="70675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How were the Proposed case framed assembly fenestration U-factors determined? (Choose one)</a:t>
          </a:r>
        </a:p>
        <a:p>
          <a:r>
            <a:rPr lang="en-US" sz="1000">
              <a:solidFill>
                <a:schemeClr val="dk1"/>
              </a:solidFill>
              <a:effectLst/>
              <a:latin typeface="Arial" panose="020B0604020202020204" pitchFamily="34" charset="0"/>
              <a:ea typeface="+mn-ea"/>
              <a:cs typeface="Arial" panose="020B0604020202020204" pitchFamily="34" charset="0"/>
            </a:rPr>
            <a:t>☐NFRC testing for site-assembled fenestration</a:t>
          </a:r>
        </a:p>
        <a:p>
          <a:r>
            <a:rPr lang="en-US" sz="1000">
              <a:solidFill>
                <a:schemeClr val="dk1"/>
              </a:solidFill>
              <a:effectLst/>
              <a:latin typeface="Arial" panose="020B0604020202020204" pitchFamily="34" charset="0"/>
              <a:ea typeface="+mn-ea"/>
              <a:cs typeface="Arial" panose="020B0604020202020204" pitchFamily="34" charset="0"/>
            </a:rPr>
            <a:t>☐NFRC testing for manufactured fenestration assemblies</a:t>
          </a:r>
        </a:p>
        <a:p>
          <a:r>
            <a:rPr lang="en-US" sz="1000">
              <a:solidFill>
                <a:schemeClr val="dk1"/>
              </a:solidFill>
              <a:effectLst/>
              <a:latin typeface="Arial" panose="020B0604020202020204" pitchFamily="34" charset="0"/>
              <a:ea typeface="+mn-ea"/>
              <a:cs typeface="Arial" panose="020B0604020202020204" pitchFamily="34" charset="0"/>
            </a:rPr>
            <a:t>☐Table A8.2 (windows) and Table A8.1 (skylights)</a:t>
          </a:r>
        </a:p>
        <a:p>
          <a:r>
            <a:rPr lang="en-US" sz="1000">
              <a:solidFill>
                <a:schemeClr val="dk1"/>
              </a:solidFill>
              <a:effectLst/>
              <a:latin typeface="Arial" panose="020B0604020202020204" pitchFamily="34" charset="0"/>
              <a:ea typeface="+mn-ea"/>
              <a:cs typeface="Arial" panose="020B0604020202020204" pitchFamily="34" charset="0"/>
            </a:rPr>
            <a:t>☐LBNL Window 5 or Window 6 calculations</a:t>
          </a:r>
        </a:p>
        <a:p>
          <a:r>
            <a:rPr lang="en-US" sz="1000">
              <a:solidFill>
                <a:schemeClr val="dk1"/>
              </a:solidFill>
              <a:effectLst/>
              <a:latin typeface="Arial" panose="020B0604020202020204" pitchFamily="34" charset="0"/>
              <a:ea typeface="+mn-ea"/>
              <a:cs typeface="Arial" panose="020B0604020202020204" pitchFamily="34" charset="0"/>
            </a:rPr>
            <a:t>☐Energy simulation includes separate frame and glazing</a:t>
          </a:r>
        </a:p>
        <a:p>
          <a:r>
            <a:rPr lang="en-US" sz="1000">
              <a:solidFill>
                <a:schemeClr val="dk1"/>
              </a:solidFill>
              <a:effectLst/>
              <a:latin typeface="Arial" panose="020B0604020202020204" pitchFamily="34" charset="0"/>
              <a:ea typeface="+mn-ea"/>
              <a:cs typeface="Arial" panose="020B0604020202020204" pitchFamily="34" charset="0"/>
            </a:rPr>
            <a:t>☐Other (Describe)_________________________</a:t>
          </a:r>
        </a:p>
        <a:p>
          <a:endParaRPr lang="en-US" sz="1100"/>
        </a:p>
      </xdr:txBody>
    </xdr:sp>
    <xdr:clientData/>
  </xdr:twoCellAnchor>
  <xdr:twoCellAnchor>
    <xdr:from>
      <xdr:col>0</xdr:col>
      <xdr:colOff>175260</xdr:colOff>
      <xdr:row>17</xdr:row>
      <xdr:rowOff>152400</xdr:rowOff>
    </xdr:from>
    <xdr:to>
      <xdr:col>13</xdr:col>
      <xdr:colOff>803910</xdr:colOff>
      <xdr:row>24</xdr:row>
      <xdr:rowOff>114300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75260" y="3832860"/>
          <a:ext cx="7456170" cy="1242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How were the Proposed case framed assembly fenestration U-factors determined? (Choose one)</a:t>
          </a:r>
        </a:p>
        <a:p>
          <a:r>
            <a:rPr lang="en-US" sz="1000">
              <a:solidFill>
                <a:schemeClr val="dk1"/>
              </a:solidFill>
              <a:effectLst/>
              <a:latin typeface="Arial" panose="020B0604020202020204" pitchFamily="34" charset="0"/>
              <a:ea typeface="+mn-ea"/>
              <a:cs typeface="Arial" panose="020B0604020202020204" pitchFamily="34" charset="0"/>
            </a:rPr>
            <a:t>☐NFRC testing for site-assembled fenestration</a:t>
          </a:r>
        </a:p>
        <a:p>
          <a:r>
            <a:rPr lang="en-US" sz="1000">
              <a:solidFill>
                <a:schemeClr val="dk1"/>
              </a:solidFill>
              <a:effectLst/>
              <a:latin typeface="Arial" panose="020B0604020202020204" pitchFamily="34" charset="0"/>
              <a:ea typeface="+mn-ea"/>
              <a:cs typeface="Arial" panose="020B0604020202020204" pitchFamily="34" charset="0"/>
            </a:rPr>
            <a:t>☐NFRC testing for manufactured fenestration assemblies</a:t>
          </a:r>
        </a:p>
        <a:p>
          <a:r>
            <a:rPr lang="en-US" sz="1000">
              <a:solidFill>
                <a:schemeClr val="dk1"/>
              </a:solidFill>
              <a:effectLst/>
              <a:latin typeface="Arial" panose="020B0604020202020204" pitchFamily="34" charset="0"/>
              <a:ea typeface="+mn-ea"/>
              <a:cs typeface="Arial" panose="020B0604020202020204" pitchFamily="34" charset="0"/>
            </a:rPr>
            <a:t>☐Table A8.2 (windows) and Table A8.1 (skylights)</a:t>
          </a:r>
        </a:p>
        <a:p>
          <a:r>
            <a:rPr lang="en-US" sz="1000">
              <a:solidFill>
                <a:schemeClr val="dk1"/>
              </a:solidFill>
              <a:effectLst/>
              <a:latin typeface="Arial" panose="020B0604020202020204" pitchFamily="34" charset="0"/>
              <a:ea typeface="+mn-ea"/>
              <a:cs typeface="Arial" panose="020B0604020202020204" pitchFamily="34" charset="0"/>
            </a:rPr>
            <a:t>☐LBNL Window 5 or Window 6 calculations</a:t>
          </a:r>
        </a:p>
        <a:p>
          <a:r>
            <a:rPr lang="en-US" sz="1000">
              <a:solidFill>
                <a:schemeClr val="dk1"/>
              </a:solidFill>
              <a:effectLst/>
              <a:latin typeface="Arial" panose="020B0604020202020204" pitchFamily="34" charset="0"/>
              <a:ea typeface="+mn-ea"/>
              <a:cs typeface="Arial" panose="020B0604020202020204" pitchFamily="34" charset="0"/>
            </a:rPr>
            <a:t>☐Energy simulation includes separate frame and glazing</a:t>
          </a:r>
        </a:p>
        <a:p>
          <a:r>
            <a:rPr lang="en-US" sz="1000">
              <a:solidFill>
                <a:schemeClr val="dk1"/>
              </a:solidFill>
              <a:effectLst/>
              <a:latin typeface="Arial" panose="020B0604020202020204" pitchFamily="34" charset="0"/>
              <a:ea typeface="+mn-ea"/>
              <a:cs typeface="Arial" panose="020B0604020202020204" pitchFamily="34" charset="0"/>
            </a:rPr>
            <a:t>☐Other (Describe)_________________________</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emhoffman\Desktop\Modeling%20Checklists\LEED%20EAc2%20Workbook.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35th_10th/Energy/Report/EN1_documentation/Feb2021_PAA/submit/20210206/35th_10th_en1-workbook_202102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mhoffman\Desktop\Modeling%20Checklists\Copy%20of%20NCPXXXXX%20WB%20Template%20V3B%20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emhoffman\Desktop\Modeling%20Checklists\MPP%20NC%20-%20ERP%20Tables%20v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MPP%20NC%20-%20ERP%20Tables%20v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Copy%20of%20NCPXXXXX%20WB%20Template%20V3B%200.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Users\emhoffman\Desktop\Copy%20of%20v4_Minimum%20Energy%20Performance%20Calculator_June_7_2016_Fix_Unlocked%20-%20UPDATED%20FOR%20BM%20v1.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150.14\Projects\Users\emhoffman\Desktop\Copy%20of%20v4_Minimum%20Energy%20Performance%20Calculator_June_7_2016_Fix_Unlocked%20-%20UPDATED%20FOR%20BM%20v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nvelope%20Lookup"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eneral%20HVA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LEED%20EAc2%20Workbook.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emhoffman\Desktop\Modeling%20Checklists\Copy%20of%20NCPXXXXX%20WB%20Template%20V3B%200.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20-%20General%20HVAC"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mhoffman\Desktop\Modeling%20Checklists\LEED%20EAc2%20Workbook.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ASHRAE%2090.1-2010_LtgExterior_Workshe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nergy%20Model%20Report%20Template(EN-1)2020%20NYCECC%20(ASHRAE%2090.1_2016)%20Baseli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paque Envelope"/>
      <sheetName val="QC Checklist"/>
      <sheetName val="Envelope Lookup"/>
      <sheetName val="Shading &amp; Fenestration"/>
      <sheetName val="Lighting"/>
      <sheetName val="Equipment"/>
      <sheetName val="Service Water Heating"/>
      <sheetName val="General HVAC"/>
      <sheetName val="Air-Side HVAC Details"/>
      <sheetName val="Water-Side HVAC Details"/>
      <sheetName val="Lighting Lookup"/>
      <sheetName val="HVAC Lookup"/>
    </sheetNames>
    <sheetDataSet>
      <sheetData sheetId="0" refreshError="1"/>
      <sheetData sheetId="1" refreshError="1"/>
      <sheetData sheetId="2" refreshError="1"/>
      <sheetData sheetId="3">
        <row r="1">
          <cell r="X1" t="str">
            <v>Nonmetal framing (all)</v>
          </cell>
        </row>
        <row r="2">
          <cell r="A2" t="str">
            <v>1A</v>
          </cell>
        </row>
        <row r="3">
          <cell r="A3" t="str">
            <v>1B</v>
          </cell>
        </row>
        <row r="4">
          <cell r="A4" t="str">
            <v>2A</v>
          </cell>
        </row>
        <row r="5">
          <cell r="A5" t="str">
            <v>2B</v>
          </cell>
        </row>
        <row r="6">
          <cell r="A6" t="str">
            <v>3A</v>
          </cell>
        </row>
        <row r="7">
          <cell r="A7" t="str">
            <v>3B</v>
          </cell>
        </row>
        <row r="8">
          <cell r="A8" t="str">
            <v>3C</v>
          </cell>
        </row>
        <row r="9">
          <cell r="A9" t="str">
            <v>4A</v>
          </cell>
        </row>
        <row r="10">
          <cell r="A10" t="str">
            <v>4B</v>
          </cell>
        </row>
        <row r="11">
          <cell r="A11" t="str">
            <v>4C</v>
          </cell>
        </row>
        <row r="12">
          <cell r="A12" t="str">
            <v>5A</v>
          </cell>
        </row>
        <row r="13">
          <cell r="A13" t="str">
            <v>5B</v>
          </cell>
        </row>
        <row r="14">
          <cell r="A14" t="str">
            <v>5C</v>
          </cell>
        </row>
        <row r="15">
          <cell r="A15" t="str">
            <v>6A</v>
          </cell>
        </row>
        <row r="16">
          <cell r="A16" t="str">
            <v>6B</v>
          </cell>
        </row>
        <row r="17">
          <cell r="A17" t="str">
            <v>7A</v>
          </cell>
        </row>
        <row r="18">
          <cell r="A18" t="str">
            <v>7B</v>
          </cell>
        </row>
        <row r="19">
          <cell r="A19">
            <v>8</v>
          </cell>
        </row>
      </sheetData>
      <sheetData sheetId="4">
        <row r="37">
          <cell r="H37" t="str">
            <v>NFRC testing for site-assembled fenestration</v>
          </cell>
        </row>
        <row r="38">
          <cell r="H38" t="str">
            <v>NFRC testing for manufactured fenestration assemblies</v>
          </cell>
        </row>
        <row r="39">
          <cell r="H39" t="str">
            <v>Table A8.2 (windows) and Table A8.1 (skylights)</v>
          </cell>
        </row>
        <row r="40">
          <cell r="H40" t="str">
            <v>LBNL Window 5 or Window 6 calculations</v>
          </cell>
        </row>
        <row r="41">
          <cell r="H41" t="str">
            <v>Energy simulation includes separate frame and glazing</v>
          </cell>
        </row>
        <row r="42">
          <cell r="H42" t="str">
            <v>Other (Describe)</v>
          </cell>
        </row>
      </sheetData>
      <sheetData sheetId="5">
        <row r="27">
          <cell r="B27" t="str">
            <v>Dormitory-Living Quarters</v>
          </cell>
        </row>
        <row r="28">
          <cell r="B28" t="str">
            <v>Active Storage</v>
          </cell>
        </row>
        <row r="29">
          <cell r="B29" t="str">
            <v>Lobby</v>
          </cell>
        </row>
        <row r="30">
          <cell r="B30" t="str">
            <v>Corridor/Transition</v>
          </cell>
        </row>
        <row r="31">
          <cell r="B31" t="str">
            <v>Stairs-Active</v>
          </cell>
        </row>
        <row r="32">
          <cell r="B32" t="str">
            <v>Conference/Meeting/Multipurpose</v>
          </cell>
        </row>
        <row r="33">
          <cell r="B33" t="str">
            <v>Electrical/Mechanical</v>
          </cell>
        </row>
        <row r="34">
          <cell r="B34" t="str">
            <v>Office-Enclosed</v>
          </cell>
        </row>
        <row r="35">
          <cell r="B35" t="str">
            <v>Workshop</v>
          </cell>
        </row>
        <row r="36">
          <cell r="B36" t="str">
            <v>Restrooms</v>
          </cell>
        </row>
        <row r="37">
          <cell r="B37" t="str">
            <v>Gymnasium/Exercise Center-Playing Area</v>
          </cell>
        </row>
        <row r="38">
          <cell r="B38" t="str">
            <v>Dressing/Locker/Fitting Room</v>
          </cell>
        </row>
      </sheetData>
      <sheetData sheetId="6" refreshError="1"/>
      <sheetData sheetId="7" refreshError="1"/>
      <sheetData sheetId="8">
        <row r="20">
          <cell r="B20" t="str">
            <v>Heat Pump System</v>
          </cell>
        </row>
        <row r="21">
          <cell r="B21" t="str">
            <v>Unit Heater</v>
          </cell>
        </row>
      </sheetData>
      <sheetData sheetId="9" refreshError="1"/>
      <sheetData sheetId="10" refreshError="1"/>
      <sheetData sheetId="11"/>
      <sheetData sheetId="12">
        <row r="9">
          <cell r="L9" t="str">
            <v>kBtu/h</v>
          </cell>
        </row>
        <row r="10">
          <cell r="A10" t="str">
            <v>System 1 - PTAC</v>
          </cell>
        </row>
        <row r="11">
          <cell r="A11" t="str">
            <v>System 2 - PTHP</v>
          </cell>
        </row>
        <row r="12">
          <cell r="A12" t="str">
            <v>System 3 - PSZ-AC</v>
          </cell>
        </row>
        <row r="13">
          <cell r="A13" t="str">
            <v>System 4 - PSZ-HP</v>
          </cell>
        </row>
        <row r="14">
          <cell r="A14" t="str">
            <v>System 5 - Packaged VAV with Reheat</v>
          </cell>
        </row>
        <row r="15">
          <cell r="A15" t="str">
            <v>System 6 - Packaged VAV with PFP Boxes</v>
          </cell>
        </row>
        <row r="16">
          <cell r="A16" t="str">
            <v>System 7 - VAV with Reheat</v>
          </cell>
        </row>
        <row r="17">
          <cell r="A17" t="str">
            <v>System 8 - VAV with PFP Boxes</v>
          </cell>
        </row>
        <row r="18">
          <cell r="A18" t="str">
            <v>System 9 - Heating and Ventilation</v>
          </cell>
        </row>
        <row r="19">
          <cell r="A19" t="str">
            <v>System 10 - Heating and Ventilation</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3">
          <cell r="C33" t="str">
            <v>System 1 - PTAC</v>
          </cell>
          <cell r="D33" t="str">
            <v>System 2 - PTHP</v>
          </cell>
          <cell r="E33" t="str">
            <v>System 1 - PTAC</v>
          </cell>
          <cell r="F33" t="str">
            <v>System 9 - Heating and Ventilation</v>
          </cell>
          <cell r="G33" t="str">
            <v>System 3 - PSZ-AC</v>
          </cell>
          <cell r="H33" t="str">
            <v>System 1 - PTAC</v>
          </cell>
          <cell r="I33" t="str">
            <v>System 5 - Packaged VAV with Reheat</v>
          </cell>
        </row>
        <row r="34">
          <cell r="C34" t="str">
            <v>System 2 - PTHP</v>
          </cell>
          <cell r="D34" t="str">
            <v>System 3 - PSZ-AC</v>
          </cell>
          <cell r="E34" t="str">
            <v>System 1 (District Cooling) - 4-pipe Fan Coil with HW Boiler</v>
          </cell>
          <cell r="F34" t="str">
            <v>System 10 - Heating and Ventilation</v>
          </cell>
          <cell r="G34" t="str">
            <v>System 4 - PSZ-HP</v>
          </cell>
          <cell r="H34" t="str">
            <v>System 1 (District Cooling) - 4-pipe Fan Coil with HW Boiler</v>
          </cell>
          <cell r="I34" t="str">
            <v>System 5 (District Cooling) - Change to System 7 - VAV with Reheat</v>
          </cell>
        </row>
        <row r="35">
          <cell r="C35" t="str">
            <v>System 3 - PSZ-AC</v>
          </cell>
          <cell r="D35" t="str">
            <v>System 3 (District Cooling) - 2-pipe CV AHU with Fossil Fuel Furnace</v>
          </cell>
          <cell r="E35" t="str">
            <v>System 1 (District Heating) - PTAC</v>
          </cell>
          <cell r="F35" t="str">
            <v>System 9 (District Heating) - Heating and Ventilation</v>
          </cell>
          <cell r="G35" t="str">
            <v>System 9 - Heating and Ventilation</v>
          </cell>
          <cell r="H35" t="str">
            <v>System 1 (District Heating) - PTAC</v>
          </cell>
          <cell r="I35" t="str">
            <v>System 5 (District Heating) - Packaged VAV with Reheat</v>
          </cell>
        </row>
        <row r="36">
          <cell r="C36" t="str">
            <v>System 4 - PSZ-HP</v>
          </cell>
          <cell r="D36" t="str">
            <v>System 4 - PSZ-HP</v>
          </cell>
          <cell r="E36" t="str">
            <v>System 1 (District Heating &amp; Cooling) - 4-pipe Fan Coil</v>
          </cell>
          <cell r="G36" t="str">
            <v>System 10 - Heating and Ventilation</v>
          </cell>
          <cell r="H36" t="str">
            <v>System 1 (District Heating &amp; Cooling) - 4-pipe Fan Coil</v>
          </cell>
          <cell r="I36" t="str">
            <v>System 5 (District Heating &amp; Cooling) - Change to System 7 - VAV with Reheat</v>
          </cell>
        </row>
        <row r="37">
          <cell r="C37" t="str">
            <v>System 5 - Packaged VAV with Reheat</v>
          </cell>
          <cell r="D37" t="str">
            <v>System 4 (District Cooling) - 2-pipe CV AHU with Fossil Fuel Furnace</v>
          </cell>
          <cell r="E37" t="str">
            <v>System 1 (District Heating) - PTAC</v>
          </cell>
          <cell r="G37" t="str">
            <v>System 3 (District Cooling) - 2-pipe CV AHU with Fossil Fuel Furnace</v>
          </cell>
          <cell r="H37" t="str">
            <v>System 2 - PTHP</v>
          </cell>
          <cell r="I37" t="str">
            <v>System 6 - Packaged VAV with PFP Boxes</v>
          </cell>
        </row>
        <row r="38">
          <cell r="C38" t="str">
            <v>System 6 - Packaged VAV with PFP Boxes</v>
          </cell>
          <cell r="D38" t="str">
            <v>System 9 - Heating and Ventilation</v>
          </cell>
          <cell r="E38" t="str">
            <v>System 1 (District Heating &amp; Cooling) - 4-pipe Fan Coil</v>
          </cell>
          <cell r="G38" t="str">
            <v>System 4 (District Cooling) - 2-pipe CV AHU with Fossil Fuel Furnace</v>
          </cell>
          <cell r="H38" t="str">
            <v>System 2 (District Cooling) - 4-pipe Fan Coil with HW Boiler</v>
          </cell>
          <cell r="I38" t="str">
            <v>System 6 (District Cooling) - Change to System 8 - VAV with PFP Boxes</v>
          </cell>
        </row>
        <row r="39">
          <cell r="C39" t="str">
            <v>System 1 (District Heating) - PTAC</v>
          </cell>
          <cell r="E39" t="str">
            <v>System 2 - PTHP</v>
          </cell>
          <cell r="H39" t="str">
            <v>System 9 - Heating and Ventilation</v>
          </cell>
          <cell r="I39" t="str">
            <v>System 7 - VAV with Reheat</v>
          </cell>
        </row>
        <row r="40">
          <cell r="C40" t="str">
            <v>System 3 (District Heating) - PSZ-AC with District Heating</v>
          </cell>
          <cell r="E40" t="str">
            <v>System 2 (District Cooling) - 4-pipe Fan Coil with HW Boiler</v>
          </cell>
          <cell r="H40" t="str">
            <v>System 9 - Heating and Ventilation</v>
          </cell>
          <cell r="I40" t="str">
            <v>System 7 (District Cooling) - VAV with Reheat</v>
          </cell>
        </row>
        <row r="41">
          <cell r="C41" t="str">
            <v>System 5 (District Heating) - Packaged VAV with Reheat</v>
          </cell>
          <cell r="E41" t="str">
            <v>System 9 - Heating and Ventilation</v>
          </cell>
          <cell r="H41" t="str">
            <v>System 9 (District Heating) - Heating and Ventilation</v>
          </cell>
          <cell r="I41" t="str">
            <v>System 7 (District Heating) - VAV with Reheat</v>
          </cell>
        </row>
        <row r="42">
          <cell r="E42" t="str">
            <v>System 9 (District Heating) - Heating and Ventilation</v>
          </cell>
          <cell r="H42" t="str">
            <v>System 9 (District Heating) - Heating and Ventilation</v>
          </cell>
          <cell r="I42" t="str">
            <v>System 7 (Heating &amp; Cooling) - VAV with Reheat</v>
          </cell>
        </row>
        <row r="43">
          <cell r="E43" t="str">
            <v>System 10 - Heating and Ventilation</v>
          </cell>
          <cell r="H43" t="str">
            <v>System 10 - Heating and Ventilation</v>
          </cell>
          <cell r="I43" t="str">
            <v>System 8 - VAV with PFP Boxes</v>
          </cell>
        </row>
        <row r="44">
          <cell r="H44" t="str">
            <v>System 10 - Heating and Ventilation</v>
          </cell>
          <cell r="I44" t="str">
            <v>System 8 (District Cooling)- VAV with PFP Boxes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hedules - Assembly"/>
      <sheetName val="Schedules - Office"/>
      <sheetName val="Schedules - Retail"/>
      <sheetName val="Schedules - Dwelling Unit"/>
      <sheetName val="1,2,3 Information"/>
      <sheetName val="4. Purchased Energy Rates"/>
      <sheetName val="4a. Avg. Rotations"/>
      <sheetName val="5. Usage Summary"/>
      <sheetName val="6a. Ext. Wall Areas"/>
      <sheetName val="6b. Fenestration"/>
      <sheetName val="6c. Wall Types"/>
      <sheetName val="6d. Interior LPD-Space Method"/>
      <sheetName val="6d. Interior LPD-Bldg  Method"/>
      <sheetName val="6e. Ext LPD 6f. Process Equip."/>
      <sheetName val="Ext LPD Calculator"/>
      <sheetName val="6g. Service HW"/>
      <sheetName val="6i. HVAC Air-Side "/>
      <sheetName val="6i. HVAC Air-Side  (2)"/>
      <sheetName val="6i. HVAC Air-Side  (3)"/>
      <sheetName val="6i. HVAC Air-Side  (4)"/>
      <sheetName val="6i. HVAC Air-Side  (5)"/>
      <sheetName val="6i. HVAC Air-Side  (6)"/>
      <sheetName val="6i. HVAC Air-Side  (7)"/>
      <sheetName val="6i. HVAC Air-Side  (8)"/>
      <sheetName val="6i. HVAC Air-Side  (9)"/>
      <sheetName val="6i. HVAC Air-Side  (10)"/>
      <sheetName val="6i. HVAC Air-Side  (11)"/>
      <sheetName val="6i. HVAC Air-Side  (12)"/>
      <sheetName val="6i. HVAC Air-Side  (13)"/>
      <sheetName val="6i. HVAC Air-Side  (14)"/>
      <sheetName val="6i. HVAC Air-Side  (15)"/>
      <sheetName val="6i. HVAC Air-Side  (16)"/>
      <sheetName val="6j. HVAC Water-side CHW  "/>
      <sheetName val="6j. HVAC Water-side CW&amp;CT"/>
      <sheetName val="6l. HVAC Water-side HW&amp;Steam"/>
      <sheetName val="6m. HVAC- Geothermal"/>
      <sheetName val="6n. CHP"/>
      <sheetName val="Lists"/>
      <sheetName val="Lighting Lookup"/>
      <sheetName val="Lighting Zones"/>
      <sheetName val="Raw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
          <cell r="A1" t="str">
            <v>Non-Residential</v>
          </cell>
          <cell r="N1" t="str">
            <v>Yes</v>
          </cell>
        </row>
        <row r="2">
          <cell r="A2" t="str">
            <v>Residential</v>
          </cell>
          <cell r="N2" t="str">
            <v>No</v>
          </cell>
        </row>
        <row r="3">
          <cell r="A3" t="str">
            <v>Semiheated</v>
          </cell>
        </row>
        <row r="5">
          <cell r="A5" t="str">
            <v>Nonmetal framing (all)</v>
          </cell>
        </row>
        <row r="6">
          <cell r="A6" t="str">
            <v>Metal framing (fixed)</v>
          </cell>
        </row>
        <row r="7">
          <cell r="A7" t="str">
            <v>Metal framing (operable)</v>
          </cell>
        </row>
        <row r="8">
          <cell r="A8" t="str">
            <v>Metal framing (entrance door)</v>
          </cell>
        </row>
        <row r="25">
          <cell r="A25" t="str">
            <v>Insulation Entirely Above Deck</v>
          </cell>
        </row>
        <row r="26">
          <cell r="A26" t="str">
            <v>Metal Building</v>
          </cell>
        </row>
        <row r="27">
          <cell r="A27" t="str">
            <v>Attic and Other</v>
          </cell>
        </row>
        <row r="29">
          <cell r="A29" t="str">
            <v>Mass</v>
          </cell>
        </row>
        <row r="30">
          <cell r="A30" t="str">
            <v>Metal Building</v>
          </cell>
        </row>
        <row r="31">
          <cell r="A31" t="str">
            <v>Steel-Framed</v>
          </cell>
        </row>
        <row r="32">
          <cell r="A32" t="str">
            <v>Wood-Framed and Other</v>
          </cell>
        </row>
        <row r="36">
          <cell r="A36" t="str">
            <v>Mass</v>
          </cell>
        </row>
        <row r="37">
          <cell r="A37" t="str">
            <v>Steel-Joist</v>
          </cell>
        </row>
        <row r="38">
          <cell r="A38" t="str">
            <v>Wood-Framed and Other</v>
          </cell>
        </row>
        <row r="40">
          <cell r="A40" t="str">
            <v>Unheated</v>
          </cell>
        </row>
        <row r="41">
          <cell r="A41" t="str">
            <v>Heated</v>
          </cell>
        </row>
        <row r="43">
          <cell r="A43" t="str">
            <v>Swinging</v>
          </cell>
        </row>
        <row r="44">
          <cell r="A44" t="str">
            <v>Nonswinging</v>
          </cell>
        </row>
      </sheetData>
      <sheetData sheetId="39">
        <row r="2">
          <cell r="A2" t="str">
            <v>Automotive facility</v>
          </cell>
          <cell r="E2" t="str">
            <v>Atrium - first 40ft in height</v>
          </cell>
        </row>
        <row r="3">
          <cell r="A3" t="str">
            <v>Convention center</v>
          </cell>
          <cell r="E3" t="str">
            <v>Atrium - height above 40ft</v>
          </cell>
        </row>
        <row r="4">
          <cell r="A4" t="str">
            <v>Courthouse</v>
          </cell>
          <cell r="E4" t="str">
            <v>Audience/seating area - all other</v>
          </cell>
        </row>
        <row r="5">
          <cell r="A5" t="str">
            <v>Dining: bar lounge/leisure</v>
          </cell>
          <cell r="E5" t="str">
            <v>Audience/seating area - auditorium</v>
          </cell>
        </row>
        <row r="6">
          <cell r="A6" t="str">
            <v>Dining: cafeteria/fast food</v>
          </cell>
          <cell r="E6" t="str">
            <v>Audience/seating area - convention center</v>
          </cell>
        </row>
        <row r="7">
          <cell r="A7" t="str">
            <v>Dining: family</v>
          </cell>
          <cell r="E7" t="str">
            <v>Audience/seating area - exercise center</v>
          </cell>
        </row>
        <row r="8">
          <cell r="A8" t="str">
            <v>Dormitory</v>
          </cell>
          <cell r="E8" t="str">
            <v>Audience/seating area - gymnasium</v>
          </cell>
        </row>
        <row r="9">
          <cell r="A9" t="str">
            <v>Exercise center</v>
          </cell>
          <cell r="E9" t="str">
            <v>Audience/seating area - motion picture theater</v>
          </cell>
        </row>
        <row r="10">
          <cell r="A10" t="str">
            <v>Fire station</v>
          </cell>
          <cell r="E10" t="str">
            <v>Audience/seating area - penitentiary</v>
          </cell>
        </row>
        <row r="11">
          <cell r="A11" t="str">
            <v>Gymnasium</v>
          </cell>
          <cell r="E11" t="str">
            <v>Audience/seating area - performing arts theater</v>
          </cell>
        </row>
        <row r="12">
          <cell r="A12" t="str">
            <v>Health-care clinic</v>
          </cell>
          <cell r="E12" t="str">
            <v>Audience/seating area - religious building</v>
          </cell>
        </row>
        <row r="13">
          <cell r="A13" t="str">
            <v>Hospital</v>
          </cell>
          <cell r="E13" t="str">
            <v>Audience/seating area - sports arena</v>
          </cell>
        </row>
        <row r="14">
          <cell r="A14" t="str">
            <v>Hotel/Motel</v>
          </cell>
          <cell r="E14" t="str">
            <v>Audience/seating area - transportation facility</v>
          </cell>
        </row>
        <row r="15">
          <cell r="A15" t="str">
            <v>Library</v>
          </cell>
          <cell r="E15" t="str">
            <v>Automotive</v>
          </cell>
        </row>
        <row r="16">
          <cell r="A16" t="str">
            <v>Manufacturing facility</v>
          </cell>
          <cell r="E16" t="str">
            <v>Banking Activity Area</v>
          </cell>
        </row>
        <row r="17">
          <cell r="A17" t="str">
            <v>Motion picture theater</v>
          </cell>
          <cell r="E17" t="str">
            <v>Classroom/lecture/training - all other</v>
          </cell>
        </row>
        <row r="18">
          <cell r="A18" t="str">
            <v>Multifamily</v>
          </cell>
          <cell r="E18" t="str">
            <v>Classroom/lecture/training - penitentiary</v>
          </cell>
        </row>
        <row r="19">
          <cell r="A19" t="str">
            <v>Museum</v>
          </cell>
          <cell r="E19" t="str">
            <v>Computer Room</v>
          </cell>
        </row>
        <row r="20">
          <cell r="A20" t="str">
            <v>Office</v>
          </cell>
          <cell r="E20" t="str">
            <v>Conference/meeting/multipurpose</v>
          </cell>
        </row>
        <row r="21">
          <cell r="A21" t="str">
            <v>Parking garage</v>
          </cell>
          <cell r="E21" t="str">
            <v>Confinement Cells</v>
          </cell>
        </row>
        <row r="22">
          <cell r="A22" t="str">
            <v>Penitentiary</v>
          </cell>
          <cell r="E22" t="str">
            <v>Convention Center-Exhibit Space</v>
          </cell>
        </row>
        <row r="23">
          <cell r="A23" t="str">
            <v>Performing arts theater</v>
          </cell>
          <cell r="E23" t="str">
            <v>Copy/Print Room</v>
          </cell>
        </row>
        <row r="24">
          <cell r="A24" t="str">
            <v>Police station</v>
          </cell>
          <cell r="E24" t="str">
            <v>Corridor - all other</v>
          </cell>
        </row>
        <row r="25">
          <cell r="A25" t="str">
            <v>Post office</v>
          </cell>
          <cell r="E25" t="str">
            <v>Corridor - facility for visually impaired</v>
          </cell>
        </row>
        <row r="26">
          <cell r="A26" t="str">
            <v>Religious building</v>
          </cell>
          <cell r="E26" t="str">
            <v>Corridor - hospital</v>
          </cell>
        </row>
        <row r="27">
          <cell r="A27" t="str">
            <v>Retail</v>
          </cell>
          <cell r="E27" t="str">
            <v>Corridor - manufacturing facility</v>
          </cell>
        </row>
        <row r="28">
          <cell r="A28" t="str">
            <v>School/university</v>
          </cell>
          <cell r="E28" t="str">
            <v>Courtroom</v>
          </cell>
        </row>
        <row r="29">
          <cell r="A29" t="str">
            <v>Sports arena</v>
          </cell>
          <cell r="E29" t="str">
            <v>Dining Area - all other</v>
          </cell>
        </row>
        <row r="30">
          <cell r="A30" t="str">
            <v>Town hall</v>
          </cell>
          <cell r="E30" t="str">
            <v>Dining Area - Bar Lounge/Leisure Dining</v>
          </cell>
        </row>
        <row r="31">
          <cell r="A31" t="str">
            <v>Transportation</v>
          </cell>
          <cell r="E31" t="str">
            <v>Dining Area - cafeteria/fast food</v>
          </cell>
        </row>
        <row r="32">
          <cell r="A32" t="str">
            <v>Warehouse</v>
          </cell>
          <cell r="E32" t="str">
            <v>Dining Area - facility for visually impaired</v>
          </cell>
        </row>
        <row r="33">
          <cell r="A33" t="str">
            <v>Workshop</v>
          </cell>
          <cell r="E33" t="str">
            <v>Dining Area - Family Dining</v>
          </cell>
        </row>
        <row r="34">
          <cell r="E34" t="str">
            <v>Dining Area - penitentiary</v>
          </cell>
        </row>
        <row r="35">
          <cell r="E35" t="str">
            <v>Dormitory - living quarters</v>
          </cell>
        </row>
        <row r="36">
          <cell r="E36" t="str">
            <v>Electrical/Mechanical</v>
          </cell>
        </row>
        <row r="37">
          <cell r="E37" t="str">
            <v>Emergency Vehicle Garage</v>
          </cell>
        </row>
        <row r="38">
          <cell r="E38" t="str">
            <v>Facility for Visually Impaired - in a chapel</v>
          </cell>
        </row>
        <row r="39">
          <cell r="E39" t="str">
            <v>Facility for Visually Impaired - in a rec room/common living rm</v>
          </cell>
        </row>
        <row r="40">
          <cell r="E40" t="str">
            <v>Fire station - sleeping quarters</v>
          </cell>
        </row>
        <row r="41">
          <cell r="E41" t="str">
            <v>Food Preparation Area</v>
          </cell>
        </row>
        <row r="42">
          <cell r="E42" t="str">
            <v>Guest Room</v>
          </cell>
        </row>
        <row r="43">
          <cell r="E43" t="str">
            <v>Gymnasium/Exercise Center-Playing Area</v>
          </cell>
        </row>
        <row r="44">
          <cell r="E44" t="str">
            <v>Gymnasium/Fitness Center - exercise area</v>
          </cell>
        </row>
        <row r="45">
          <cell r="E45" t="str">
            <v>Healthcare facility - exam treatment room</v>
          </cell>
        </row>
        <row r="46">
          <cell r="E46" t="str">
            <v>Healthcare facility - imaging room</v>
          </cell>
        </row>
        <row r="47">
          <cell r="E47" t="str">
            <v>Healthcare facility - medical supply room</v>
          </cell>
        </row>
        <row r="48">
          <cell r="E48" t="str">
            <v>Healthcare facility - nursery</v>
          </cell>
        </row>
        <row r="49">
          <cell r="E49" t="str">
            <v>Healthcare facility - nurse's station</v>
          </cell>
        </row>
        <row r="50">
          <cell r="E50" t="str">
            <v>Healthcare facility - Operating Room</v>
          </cell>
        </row>
        <row r="51">
          <cell r="E51" t="str">
            <v>Healthcare facility - Patient Room</v>
          </cell>
        </row>
        <row r="52">
          <cell r="E52" t="str">
            <v>Healthcare facility - Physical Therapy</v>
          </cell>
        </row>
        <row r="53">
          <cell r="E53" t="str">
            <v>Healthcare facility - Recovery</v>
          </cell>
        </row>
        <row r="54">
          <cell r="E54" t="str">
            <v>Laboratory - in or as a classroom</v>
          </cell>
        </row>
        <row r="55">
          <cell r="E55" t="str">
            <v>Laboratory - other</v>
          </cell>
        </row>
        <row r="56">
          <cell r="E56" t="str">
            <v>Laundry/Washing Area</v>
          </cell>
        </row>
        <row r="57">
          <cell r="E57" t="str">
            <v>Library - Reading Area</v>
          </cell>
        </row>
        <row r="58">
          <cell r="E58" t="str">
            <v>Library - Stacks</v>
          </cell>
        </row>
        <row r="59">
          <cell r="E59" t="str">
            <v>Loading Dock, Interior</v>
          </cell>
        </row>
        <row r="60">
          <cell r="E60" t="str">
            <v>Lobby - all other</v>
          </cell>
        </row>
        <row r="61">
          <cell r="E61" t="str">
            <v>Lobby - Elevator</v>
          </cell>
        </row>
        <row r="62">
          <cell r="E62" t="str">
            <v>Lobby - facility for visually impaired</v>
          </cell>
        </row>
        <row r="63">
          <cell r="E63" t="str">
            <v>Lobby - Hotel</v>
          </cell>
        </row>
        <row r="64">
          <cell r="E64" t="str">
            <v>Lobby - Motion Picture Theater</v>
          </cell>
        </row>
        <row r="65">
          <cell r="E65" t="str">
            <v>Lobby - Performing Arts Theater</v>
          </cell>
        </row>
        <row r="66">
          <cell r="E66" t="str">
            <v>Locker Room</v>
          </cell>
        </row>
        <row r="67">
          <cell r="E67" t="str">
            <v>Lounge/Breakroom - all other</v>
          </cell>
        </row>
        <row r="68">
          <cell r="E68" t="str">
            <v>Lounge/Breakroom - healthcare facility</v>
          </cell>
        </row>
        <row r="69">
          <cell r="E69" t="str">
            <v>Manufacturing-Detailed Manufacturing</v>
          </cell>
        </row>
        <row r="70">
          <cell r="E70" t="str">
            <v>Manufacturing-Equipment Room</v>
          </cell>
        </row>
        <row r="71">
          <cell r="E71" t="str">
            <v>Manufacturing-Extra High Bay (&gt;50ft floor to ceiling ht)</v>
          </cell>
        </row>
        <row r="72">
          <cell r="E72" t="str">
            <v>Manufacturing-High Bay (25-50ft floor to ceiling ht)</v>
          </cell>
        </row>
        <row r="73">
          <cell r="E73" t="str">
            <v>Manufacturing-Low Bay (&lt;25ft floor to ceiling ht)</v>
          </cell>
        </row>
        <row r="74">
          <cell r="E74" t="str">
            <v>Multifamily Dwelling Unit</v>
          </cell>
        </row>
        <row r="75">
          <cell r="E75" t="str">
            <v>Museum-General Exhibition</v>
          </cell>
        </row>
        <row r="76">
          <cell r="E76" t="str">
            <v>Museum-Restoration</v>
          </cell>
        </row>
        <row r="77">
          <cell r="E77" t="str">
            <v>Office - Enclosed and &lt; 250 sqft</v>
          </cell>
        </row>
        <row r="78">
          <cell r="E78" t="str">
            <v>Office - Enclosed and &gt; 250 sqft</v>
          </cell>
        </row>
        <row r="79">
          <cell r="E79" t="str">
            <v>Office - Open Plan</v>
          </cell>
        </row>
        <row r="80">
          <cell r="E80" t="str">
            <v>Parking Area, Interior</v>
          </cell>
        </row>
        <row r="81">
          <cell r="E81" t="str">
            <v>Performing Arts Theater - dressing room</v>
          </cell>
        </row>
        <row r="82">
          <cell r="E82" t="str">
            <v>Pharmacy Area</v>
          </cell>
        </row>
        <row r="83">
          <cell r="E83" t="str">
            <v>Post Office-Sorting Area</v>
          </cell>
        </row>
        <row r="84">
          <cell r="E84" t="str">
            <v>Religious Buildings-Fellowship Hall</v>
          </cell>
        </row>
        <row r="85">
          <cell r="E85" t="str">
            <v>Religious Buildings-Worship Pulpit, Choir</v>
          </cell>
        </row>
        <row r="86">
          <cell r="E86" t="str">
            <v>Restroom - all other</v>
          </cell>
        </row>
        <row r="87">
          <cell r="E87" t="str">
            <v>Restroom - visually impaired</v>
          </cell>
        </row>
        <row r="88">
          <cell r="E88" t="str">
            <v>Retail-Dressing/Fitting Room</v>
          </cell>
        </row>
        <row r="89">
          <cell r="E89" t="str">
            <v>Retail-Mall Concourse</v>
          </cell>
        </row>
        <row r="90">
          <cell r="E90" t="str">
            <v>Sales Area</v>
          </cell>
        </row>
        <row r="91">
          <cell r="E91" t="str">
            <v>Seating Area, General</v>
          </cell>
        </row>
        <row r="92">
          <cell r="E92" t="str">
            <v>Sports Arena-Court Sports Area-Class 1</v>
          </cell>
        </row>
        <row r="93">
          <cell r="E93" t="str">
            <v>Sports Arena-Court Sports Area-Class 2</v>
          </cell>
        </row>
        <row r="94">
          <cell r="E94" t="str">
            <v>Sports Arena-Court Sports Area-Class 3</v>
          </cell>
        </row>
        <row r="95">
          <cell r="E95" t="str">
            <v>Sports Arena-Court Sports Area-Class 4</v>
          </cell>
        </row>
        <row r="96">
          <cell r="E96" t="str">
            <v>Stairwell</v>
          </cell>
        </row>
        <row r="97">
          <cell r="E97" t="str">
            <v>Storage room - all other</v>
          </cell>
        </row>
        <row r="98">
          <cell r="E98" t="str">
            <v>Storage room - hospital</v>
          </cell>
        </row>
        <row r="99">
          <cell r="E99" t="str">
            <v>Storage room &lt; 50 sqft</v>
          </cell>
        </row>
        <row r="100">
          <cell r="E100" t="str">
            <v>Storage room &lt; 50 sqft and &lt; 1000 sqft</v>
          </cell>
        </row>
        <row r="101">
          <cell r="E101" t="str">
            <v>Transportation facility - airport concourse</v>
          </cell>
        </row>
        <row r="102">
          <cell r="E102" t="str">
            <v>Transportation facility - baggage/carousel area</v>
          </cell>
        </row>
        <row r="103">
          <cell r="E103" t="str">
            <v>Transportation facility - terminal ticket counter</v>
          </cell>
        </row>
        <row r="104">
          <cell r="E104" t="str">
            <v>Vehicular Maintenance Area</v>
          </cell>
        </row>
        <row r="105">
          <cell r="E105" t="str">
            <v>Warehouse storage - medium to bulky, palletized items</v>
          </cell>
        </row>
        <row r="106">
          <cell r="E106" t="str">
            <v>Warehouse storage - smaller, hand-carried items</v>
          </cell>
        </row>
        <row r="107">
          <cell r="E107" t="str">
            <v>Workshop</v>
          </cell>
        </row>
      </sheetData>
      <sheetData sheetId="40">
        <row r="2">
          <cell r="B2">
            <v>0</v>
          </cell>
          <cell r="C2" t="str">
            <v>Undeveloped areas within national and state parks, forest land and rural areas and other undeveloped areas as approved by the AHJ</v>
          </cell>
        </row>
        <row r="3">
          <cell r="B3">
            <v>1</v>
          </cell>
          <cell r="C3" t="str">
            <v>Park Land</v>
          </cell>
        </row>
        <row r="4">
          <cell r="B4">
            <v>2</v>
          </cell>
          <cell r="C4" t="str">
            <v>R districts, R districts with C overlays and MX districts</v>
          </cell>
        </row>
        <row r="5">
          <cell r="B5">
            <v>3</v>
          </cell>
          <cell r="C5" t="str">
            <v>M districts, except MX; C districts, except C5, C6 and C overlays on R</v>
          </cell>
        </row>
        <row r="6">
          <cell r="B6">
            <v>4</v>
          </cell>
          <cell r="C6" t="str">
            <v>C5 and C6 districts</v>
          </cell>
        </row>
      </sheetData>
      <sheetData sheetId="4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Opaque Envelope"/>
      <sheetName val="QC Checklist"/>
      <sheetName val="Envelope Lookup"/>
      <sheetName val="2 - Shading &amp; Fenestration"/>
      <sheetName val="3A - Interior Lighting"/>
      <sheetName val="3B - LPD by Space Type"/>
      <sheetName val="3C - Exterior Lighting"/>
      <sheetName val="LPD-Space by Space"/>
      <sheetName val="4 - Equipment"/>
      <sheetName val="5 - Service Water Heating"/>
      <sheetName val="6 - General HVAC"/>
      <sheetName val="7 - Air-Side HVAC Details"/>
      <sheetName val="8 - Water-Side HVAC Details"/>
      <sheetName val="Lighting Lookup"/>
      <sheetName val="HVAC Lookup"/>
      <sheetName val="Revision Log"/>
    </sheetNames>
    <sheetDataSet>
      <sheetData sheetId="0"/>
      <sheetData sheetId="1"/>
      <sheetData sheetId="2"/>
      <sheetData sheetId="3">
        <row r="1">
          <cell r="X1" t="str">
            <v>Nonmetal framing (all)</v>
          </cell>
        </row>
      </sheetData>
      <sheetData sheetId="4"/>
      <sheetData sheetId="5"/>
      <sheetData sheetId="6"/>
      <sheetData sheetId="7"/>
      <sheetData sheetId="8"/>
      <sheetData sheetId="9"/>
      <sheetData sheetId="10"/>
      <sheetData sheetId="11">
        <row r="28">
          <cell r="C28" t="str">
            <v>-</v>
          </cell>
        </row>
      </sheetData>
      <sheetData sheetId="12"/>
      <sheetData sheetId="13"/>
      <sheetData sheetId="14"/>
      <sheetData sheetId="15">
        <row r="9">
          <cell r="L9" t="str">
            <v>kBtu/h</v>
          </cell>
        </row>
        <row r="10">
          <cell r="A10" t="str">
            <v>System 1 - PTAC</v>
          </cell>
          <cell r="B10">
            <v>1</v>
          </cell>
          <cell r="C10" t="str">
            <v>System 1 - PTAC</v>
          </cell>
          <cell r="D10" t="str">
            <v>System 1 (District Cooling) - 4-pipe Fan Coil with HW Boiler</v>
          </cell>
          <cell r="E10" t="str">
            <v>System 1 (District Heating) - PTAC</v>
          </cell>
          <cell r="F10" t="str">
            <v>System 1 (District Heating &amp; Cooling) - 4-pipe Fan Coil</v>
          </cell>
          <cell r="G10" t="str">
            <v>Describe the California Title-24 Baseline System Type</v>
          </cell>
          <cell r="H10">
            <v>2.9999999999999997E-4</v>
          </cell>
          <cell r="I10">
            <v>0</v>
          </cell>
          <cell r="J10">
            <v>0</v>
          </cell>
          <cell r="K10">
            <v>0</v>
          </cell>
        </row>
        <row r="11">
          <cell r="A11" t="str">
            <v>System 2 - PTHP</v>
          </cell>
          <cell r="B11">
            <v>2</v>
          </cell>
          <cell r="C11" t="str">
            <v>System 2 - PTHP</v>
          </cell>
          <cell r="D11" t="str">
            <v>System 2 (District Cooling) - 4-pipe Fan Coil with HW Boiler</v>
          </cell>
          <cell r="E11" t="str">
            <v/>
          </cell>
          <cell r="F11" t="str">
            <v/>
          </cell>
          <cell r="G11" t="str">
            <v/>
          </cell>
          <cell r="H11">
            <v>2.9999999999999997E-4</v>
          </cell>
          <cell r="I11">
            <v>0</v>
          </cell>
          <cell r="J11">
            <v>0</v>
          </cell>
          <cell r="K11">
            <v>0</v>
          </cell>
        </row>
        <row r="12">
          <cell r="A12" t="str">
            <v>System 3 - PSZ-AC</v>
          </cell>
          <cell r="B12">
            <v>3</v>
          </cell>
          <cell r="C12" t="str">
            <v>System 3 - PSZ-AC</v>
          </cell>
          <cell r="D12" t="str">
            <v>System 3 (District Cooling) - 2-pipe CV AHU with Fossil Fuel Furnace</v>
          </cell>
          <cell r="E12" t="str">
            <v>System 3 (District Heating) - PSZ-AC with District Heating</v>
          </cell>
          <cell r="F12" t="str">
            <v>System 3 (District Heating &amp; Cooling) - 4-pipe CV AHU</v>
          </cell>
          <cell r="G12" t="str">
            <v/>
          </cell>
          <cell r="H12">
            <v>9.3999999999999997E-4</v>
          </cell>
          <cell r="I12">
            <v>1</v>
          </cell>
          <cell r="J12">
            <v>1</v>
          </cell>
          <cell r="K12">
            <v>0</v>
          </cell>
        </row>
        <row r="13">
          <cell r="A13" t="str">
            <v>System 4 - PSZ-HP</v>
          </cell>
          <cell r="B13">
            <v>4</v>
          </cell>
          <cell r="C13" t="str">
            <v>System 4 - PSZ-HP</v>
          </cell>
          <cell r="D13" t="str">
            <v>System 4 (District Cooling) - 2-pipe CV AHU with Fossil Fuel Furnace</v>
          </cell>
          <cell r="E13" t="str">
            <v/>
          </cell>
          <cell r="F13" t="str">
            <v/>
          </cell>
          <cell r="G13" t="str">
            <v/>
          </cell>
          <cell r="H13">
            <v>9.3999999999999997E-4</v>
          </cell>
          <cell r="I13">
            <v>1</v>
          </cell>
          <cell r="J13">
            <v>1</v>
          </cell>
          <cell r="K13">
            <v>0</v>
          </cell>
        </row>
        <row r="14">
          <cell r="A14" t="str">
            <v>System 5 - Packaged VAV with Reheat</v>
          </cell>
          <cell r="B14">
            <v>5</v>
          </cell>
          <cell r="C14" t="str">
            <v>System 5 - Packaged VAV with Reheat</v>
          </cell>
          <cell r="D14" t="str">
            <v>System 5 (District Cooling) - Change to System 7 - VAV with Reheat</v>
          </cell>
          <cell r="E14" t="str">
            <v>System 5 (District Heating) - Packaged VAV with Reheat</v>
          </cell>
          <cell r="F14" t="str">
            <v>System 5 (District Heating &amp; Cooling) - Change to System 7 - VAV with Reheat</v>
          </cell>
          <cell r="G14" t="str">
            <v/>
          </cell>
          <cell r="H14">
            <v>1.2999999999999999E-3</v>
          </cell>
          <cell r="I14">
            <v>1</v>
          </cell>
          <cell r="J14">
            <v>1</v>
          </cell>
          <cell r="K14">
            <v>0</v>
          </cell>
        </row>
        <row r="15">
          <cell r="A15" t="str">
            <v>System 6 - Packaged VAV with PFP Boxes</v>
          </cell>
          <cell r="B15">
            <v>6</v>
          </cell>
          <cell r="C15" t="str">
            <v>System 6 - Packaged VAV with PFP Boxes</v>
          </cell>
          <cell r="D15" t="str">
            <v>System 6 (District Cooling) - Change to System 8 - VAV with PFP Boxes</v>
          </cell>
          <cell r="E15" t="str">
            <v/>
          </cell>
          <cell r="F15" t="str">
            <v/>
          </cell>
          <cell r="G15" t="str">
            <v/>
          </cell>
          <cell r="H15">
            <v>1.2999999999999999E-3</v>
          </cell>
          <cell r="I15">
            <v>1</v>
          </cell>
          <cell r="J15">
            <v>1</v>
          </cell>
          <cell r="K15">
            <v>0</v>
          </cell>
        </row>
        <row r="16">
          <cell r="A16" t="str">
            <v>System 7 - VAV with Reheat</v>
          </cell>
          <cell r="B16">
            <v>7</v>
          </cell>
          <cell r="C16" t="str">
            <v>System 7 - VAV with Reheat</v>
          </cell>
          <cell r="D16" t="str">
            <v>System 7 (District Cooling) - VAV with Reheat</v>
          </cell>
          <cell r="E16" t="str">
            <v>System 7 (District Heating) - VAV with Reheat</v>
          </cell>
          <cell r="F16" t="str">
            <v>System 7 (Heating &amp; Cooling) - VAV with Reheat</v>
          </cell>
          <cell r="G16" t="str">
            <v/>
          </cell>
          <cell r="H16">
            <v>1.2999999999999999E-3</v>
          </cell>
          <cell r="I16">
            <v>1</v>
          </cell>
          <cell r="J16">
            <v>1</v>
          </cell>
          <cell r="K16">
            <v>0</v>
          </cell>
        </row>
        <row r="17">
          <cell r="A17" t="str">
            <v>System 8 - VAV with PFP Boxes</v>
          </cell>
          <cell r="B17">
            <v>8</v>
          </cell>
          <cell r="C17" t="str">
            <v>System 8 - VAV with PFP Boxes</v>
          </cell>
          <cell r="D17" t="str">
            <v>System 8 (District Cooling)- VAV with PFP Boxes</v>
          </cell>
          <cell r="E17" t="str">
            <v/>
          </cell>
          <cell r="F17" t="str">
            <v/>
          </cell>
          <cell r="G17" t="str">
            <v/>
          </cell>
          <cell r="H17">
            <v>1.2999999999999999E-3</v>
          </cell>
          <cell r="I17">
            <v>1</v>
          </cell>
          <cell r="J17">
            <v>1</v>
          </cell>
          <cell r="K17">
            <v>0</v>
          </cell>
        </row>
        <row r="18">
          <cell r="A18" t="str">
            <v>System 9 - Heating and Ventilation</v>
          </cell>
          <cell r="B18">
            <v>9</v>
          </cell>
          <cell r="C18" t="str">
            <v>System 9 - Heating and Ventilation</v>
          </cell>
          <cell r="D18" t="str">
            <v>System 9 - Heating and Ventilation</v>
          </cell>
          <cell r="E18" t="str">
            <v>System 9 (District Heating) - Heating and Ventilation</v>
          </cell>
          <cell r="F18" t="str">
            <v>System 9 (District Heating) - Heating and Ventilation</v>
          </cell>
          <cell r="G18" t="str">
            <v/>
          </cell>
          <cell r="H18">
            <v>2.9999999999999997E-4</v>
          </cell>
          <cell r="I18">
            <v>0</v>
          </cell>
          <cell r="J18">
            <v>0</v>
          </cell>
          <cell r="K18">
            <v>5.3999999999999998E-5</v>
          </cell>
        </row>
        <row r="19">
          <cell r="A19" t="str">
            <v>System 10 - Heating and Ventilation</v>
          </cell>
          <cell r="B19">
            <v>10</v>
          </cell>
          <cell r="C19" t="str">
            <v>System 10 - Heating and Ventilation</v>
          </cell>
          <cell r="D19" t="str">
            <v>System 10 - Heating and Ventilation</v>
          </cell>
          <cell r="E19" t="str">
            <v/>
          </cell>
          <cell r="F19" t="str">
            <v/>
          </cell>
          <cell r="G19" t="str">
            <v/>
          </cell>
          <cell r="H19">
            <v>2.9999999999999997E-4</v>
          </cell>
          <cell r="I19">
            <v>0</v>
          </cell>
          <cell r="J19">
            <v>0</v>
          </cell>
          <cell r="K19">
            <v>5.3999999999999998E-5</v>
          </cell>
        </row>
        <row r="20">
          <cell r="A20" t="str">
            <v/>
          </cell>
          <cell r="B20">
            <v>1</v>
          </cell>
          <cell r="C20" t="str">
            <v/>
          </cell>
          <cell r="D20" t="str">
            <v>System 1 - PTAC</v>
          </cell>
          <cell r="E20" t="str">
            <v>System 1 - PTAC</v>
          </cell>
          <cell r="F20" t="str">
            <v>System 1 - PTAC</v>
          </cell>
          <cell r="G20" t="str">
            <v/>
          </cell>
          <cell r="H20">
            <v>2.9999999999999997E-4</v>
          </cell>
          <cell r="I20">
            <v>0</v>
          </cell>
          <cell r="J20">
            <v>0</v>
          </cell>
          <cell r="K20">
            <v>0</v>
          </cell>
        </row>
        <row r="21">
          <cell r="A21" t="str">
            <v/>
          </cell>
          <cell r="B21">
            <v>2</v>
          </cell>
          <cell r="C21" t="str">
            <v/>
          </cell>
          <cell r="D21" t="str">
            <v>System 2 - PTHP</v>
          </cell>
          <cell r="E21" t="str">
            <v>System 2 - PTHP</v>
          </cell>
          <cell r="F21" t="str">
            <v>System 2 - PTHP</v>
          </cell>
          <cell r="G21" t="str">
            <v/>
          </cell>
          <cell r="H21">
            <v>2.9999999999999997E-4</v>
          </cell>
          <cell r="I21">
            <v>0</v>
          </cell>
          <cell r="J21">
            <v>0</v>
          </cell>
          <cell r="K21">
            <v>0</v>
          </cell>
        </row>
        <row r="22">
          <cell r="A22" t="str">
            <v/>
          </cell>
          <cell r="B22">
            <v>3</v>
          </cell>
          <cell r="C22" t="str">
            <v/>
          </cell>
          <cell r="D22" t="str">
            <v>System 3 - PSZ-AC</v>
          </cell>
          <cell r="E22" t="str">
            <v>System 3 - PSZ-AC</v>
          </cell>
          <cell r="F22" t="str">
            <v>System 3 - PSZ-AC</v>
          </cell>
          <cell r="G22" t="str">
            <v/>
          </cell>
          <cell r="H22">
            <v>9.3999999999999997E-4</v>
          </cell>
          <cell r="I22">
            <v>1</v>
          </cell>
          <cell r="J22">
            <v>1</v>
          </cell>
          <cell r="K22">
            <v>0</v>
          </cell>
        </row>
        <row r="23">
          <cell r="A23" t="str">
            <v/>
          </cell>
          <cell r="B23">
            <v>4</v>
          </cell>
          <cell r="C23" t="str">
            <v/>
          </cell>
          <cell r="D23" t="str">
            <v>System 4 - PSZ-HP</v>
          </cell>
          <cell r="E23" t="str">
            <v>System 4 - PSZ-HP</v>
          </cell>
          <cell r="F23" t="str">
            <v>System 4 - PSZ-HP</v>
          </cell>
          <cell r="G23" t="str">
            <v/>
          </cell>
          <cell r="H23">
            <v>9.3999999999999997E-4</v>
          </cell>
          <cell r="I23">
            <v>1</v>
          </cell>
          <cell r="J23">
            <v>1</v>
          </cell>
          <cell r="K23">
            <v>0</v>
          </cell>
        </row>
        <row r="24">
          <cell r="A24" t="str">
            <v/>
          </cell>
          <cell r="B24">
            <v>5</v>
          </cell>
          <cell r="C24" t="str">
            <v/>
          </cell>
          <cell r="D24" t="str">
            <v>System 5 - Packaged VAV with Reheat</v>
          </cell>
          <cell r="E24" t="str">
            <v>System 5 - Packaged VAV with Reheat</v>
          </cell>
          <cell r="F24" t="str">
            <v>System 5 - Packaged VAV with Reheat</v>
          </cell>
          <cell r="G24" t="str">
            <v/>
          </cell>
          <cell r="H24">
            <v>1.2999999999999999E-3</v>
          </cell>
          <cell r="I24">
            <v>1</v>
          </cell>
          <cell r="J24">
            <v>1</v>
          </cell>
          <cell r="K24">
            <v>0</v>
          </cell>
        </row>
        <row r="25">
          <cell r="A25" t="str">
            <v/>
          </cell>
          <cell r="B25">
            <v>6</v>
          </cell>
          <cell r="C25" t="str">
            <v/>
          </cell>
          <cell r="D25" t="str">
            <v>System 6 - Packaged VAV with PFP Boxes</v>
          </cell>
          <cell r="E25" t="str">
            <v>System 6 - Packaged VAV with PFP Boxes</v>
          </cell>
          <cell r="F25" t="str">
            <v>System 6 - Packaged VAV with PFP Boxes</v>
          </cell>
          <cell r="G25" t="str">
            <v/>
          </cell>
          <cell r="H25">
            <v>1.2999999999999999E-3</v>
          </cell>
          <cell r="I25">
            <v>1</v>
          </cell>
          <cell r="J25">
            <v>1</v>
          </cell>
          <cell r="K25">
            <v>0</v>
          </cell>
        </row>
        <row r="26">
          <cell r="A26" t="str">
            <v/>
          </cell>
          <cell r="B26">
            <v>7</v>
          </cell>
          <cell r="C26" t="str">
            <v/>
          </cell>
          <cell r="D26" t="str">
            <v>System 7 - VAV with Reheat</v>
          </cell>
          <cell r="E26" t="str">
            <v>System 7 - VAV with Reheat</v>
          </cell>
          <cell r="F26" t="str">
            <v>System 7 - VAV with Reheat</v>
          </cell>
          <cell r="G26" t="str">
            <v/>
          </cell>
          <cell r="H26">
            <v>1.2999999999999999E-3</v>
          </cell>
          <cell r="I26">
            <v>1</v>
          </cell>
          <cell r="J26">
            <v>1</v>
          </cell>
          <cell r="K26">
            <v>0</v>
          </cell>
        </row>
        <row r="27">
          <cell r="A27" t="str">
            <v/>
          </cell>
          <cell r="B27">
            <v>8</v>
          </cell>
          <cell r="C27" t="str">
            <v/>
          </cell>
          <cell r="D27" t="str">
            <v>System 8 - VAV with PFP Boxes</v>
          </cell>
          <cell r="E27" t="str">
            <v>System 8 - VAV with PFP Boxes</v>
          </cell>
          <cell r="F27" t="str">
            <v>System 8 - VAV with PFP Boxes</v>
          </cell>
          <cell r="G27" t="str">
            <v/>
          </cell>
          <cell r="H27">
            <v>1.2999999999999999E-3</v>
          </cell>
          <cell r="I27">
            <v>1</v>
          </cell>
          <cell r="J27">
            <v>1</v>
          </cell>
          <cell r="K27">
            <v>0</v>
          </cell>
        </row>
        <row r="28">
          <cell r="A28" t="str">
            <v/>
          </cell>
          <cell r="B28">
            <v>9</v>
          </cell>
          <cell r="C28" t="str">
            <v/>
          </cell>
          <cell r="D28" t="str">
            <v/>
          </cell>
          <cell r="E28" t="str">
            <v>System 9 - Heating and Ventilation</v>
          </cell>
          <cell r="F28" t="str">
            <v>System 9 - Heating and Ventilation</v>
          </cell>
          <cell r="G28" t="str">
            <v/>
          </cell>
          <cell r="H28">
            <v>2.9999999999999997E-4</v>
          </cell>
          <cell r="I28">
            <v>0</v>
          </cell>
          <cell r="J28">
            <v>0</v>
          </cell>
          <cell r="K28">
            <v>5.3999999999999998E-5</v>
          </cell>
        </row>
        <row r="29">
          <cell r="A29" t="str">
            <v/>
          </cell>
          <cell r="B29">
            <v>10</v>
          </cell>
          <cell r="C29" t="str">
            <v/>
          </cell>
          <cell r="D29" t="str">
            <v/>
          </cell>
          <cell r="E29" t="str">
            <v>System 10 - Heating and Ventilation</v>
          </cell>
          <cell r="F29" t="str">
            <v>System 10 - Heating and Ventilation</v>
          </cell>
          <cell r="G29" t="str">
            <v/>
          </cell>
          <cell r="H29">
            <v>2.9999999999999997E-4</v>
          </cell>
          <cell r="I29">
            <v>0</v>
          </cell>
          <cell r="J29">
            <v>0</v>
          </cell>
          <cell r="K29">
            <v>5.3999999999999998E-5</v>
          </cell>
        </row>
      </sheetData>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GHSF Calculator"/>
      <sheetName val="Demand Savings Lookup"/>
      <sheetName val="Lookup"/>
      <sheetName val="Drop Down"/>
      <sheetName val="Introduction"/>
      <sheetName val="NYSERDA Reporting"/>
      <sheetName val="ERMs"/>
      <sheetName val="Basic Info"/>
      <sheetName val="Model Inputs"/>
      <sheetName val="Reporting Summary"/>
      <sheetName val="Avoided Costs"/>
      <sheetName val="Detailed Measures"/>
      <sheetName val="Results from eQUEST"/>
      <sheetName val="SG Appx Intro"/>
      <sheetName val="Project Size"/>
      <sheetName val="Windows eQuest"/>
      <sheetName val="DHW Demand"/>
      <sheetName val="Appliances"/>
      <sheetName val="Lighting Schedule"/>
      <sheetName val="Interior Lighting"/>
      <sheetName val="Exterior Lighting"/>
      <sheetName val="In-Unit Lighting"/>
      <sheetName val="Infiltration&amp;Ventilation"/>
      <sheetName val="EIR for PTAC and PTHP"/>
      <sheetName val="Water Savings"/>
      <sheetName val="Simulation Summary"/>
      <sheetName val="Admin"/>
      <sheetName val="RECS - Baseline"/>
      <sheetName val="RECS - Proposed"/>
      <sheetName val="Tables of Values"/>
      <sheetName val="Locator Map"/>
      <sheetName val="Side Calcs - Baseline"/>
      <sheetName val="ZipCode Map"/>
      <sheetName val="Worksheet - Design - Baseline"/>
      <sheetName val="Worksheet - Design - Proposed"/>
      <sheetName val="Side Calcs - Proposed"/>
    </sheetNames>
    <sheetDataSet>
      <sheetData sheetId="0"/>
      <sheetData sheetId="1"/>
      <sheetData sheetId="2"/>
      <sheetData sheetId="3"/>
      <sheetData sheetId="4">
        <row r="2">
          <cell r="U2" t="str">
            <v>Storage, active</v>
          </cell>
          <cell r="W2" t="str">
            <v>Conference/meeting/multipurpose</v>
          </cell>
          <cell r="X2">
            <v>1.3</v>
          </cell>
          <cell r="Y2">
            <v>30</v>
          </cell>
        </row>
        <row r="3">
          <cell r="U3" t="str">
            <v>Storage, inactive</v>
          </cell>
          <cell r="W3" t="str">
            <v>Corridor/Transition</v>
          </cell>
          <cell r="X3">
            <v>0.5</v>
          </cell>
          <cell r="Y3">
            <v>10</v>
          </cell>
        </row>
        <row r="4">
          <cell r="U4" t="str">
            <v>Food Preparation</v>
          </cell>
          <cell r="W4" t="str">
            <v>Dining Area - For Family Dining</v>
          </cell>
          <cell r="X4">
            <v>2.1</v>
          </cell>
          <cell r="Y4">
            <v>23</v>
          </cell>
        </row>
        <row r="5">
          <cell r="U5" t="str">
            <v>Dining Area - For Family Dining</v>
          </cell>
          <cell r="W5" t="str">
            <v>Electrical/Mechanical</v>
          </cell>
          <cell r="X5">
            <v>1.5</v>
          </cell>
          <cell r="Y5">
            <v>30</v>
          </cell>
        </row>
        <row r="6">
          <cell r="U6" t="str">
            <v>Lobby</v>
          </cell>
          <cell r="W6" t="str">
            <v>Exit Signs</v>
          </cell>
          <cell r="X6" t="str">
            <v>5 W/face</v>
          </cell>
          <cell r="Y6" t="str">
            <v>NA</v>
          </cell>
        </row>
        <row r="7">
          <cell r="U7" t="str">
            <v>Corridor/Transition</v>
          </cell>
          <cell r="W7">
            <v>0</v>
          </cell>
          <cell r="X7">
            <v>0</v>
          </cell>
          <cell r="Y7">
            <v>0</v>
          </cell>
        </row>
        <row r="8">
          <cell r="U8" t="str">
            <v>Stairs - Active</v>
          </cell>
          <cell r="W8" t="str">
            <v>Food Preparation</v>
          </cell>
          <cell r="X8">
            <v>1.2</v>
          </cell>
          <cell r="Y8">
            <v>40</v>
          </cell>
        </row>
        <row r="9">
          <cell r="U9" t="str">
            <v>Restroom</v>
          </cell>
          <cell r="W9" t="str">
            <v>Lobby</v>
          </cell>
          <cell r="X9">
            <v>1.3</v>
          </cell>
          <cell r="Y9">
            <v>16</v>
          </cell>
        </row>
        <row r="10">
          <cell r="U10" t="str">
            <v>Office</v>
          </cell>
          <cell r="W10" t="str">
            <v>Office</v>
          </cell>
          <cell r="X10">
            <v>1.1000000000000001</v>
          </cell>
          <cell r="Y10">
            <v>35</v>
          </cell>
        </row>
        <row r="11">
          <cell r="U11" t="str">
            <v>Conference/meeting/multipurpose</v>
          </cell>
          <cell r="W11" t="str">
            <v>Parking garage</v>
          </cell>
          <cell r="X11">
            <v>0.2</v>
          </cell>
          <cell r="Y11">
            <v>7</v>
          </cell>
        </row>
        <row r="12">
          <cell r="U12" t="str">
            <v>Electrical/Mechanical</v>
          </cell>
          <cell r="W12" t="str">
            <v>Restroom</v>
          </cell>
          <cell r="X12">
            <v>0.9</v>
          </cell>
          <cell r="Y12">
            <v>12</v>
          </cell>
        </row>
        <row r="13">
          <cell r="U13" t="str">
            <v>Workshop</v>
          </cell>
          <cell r="W13" t="str">
            <v>Stairs - Active</v>
          </cell>
          <cell r="X13">
            <v>0.6</v>
          </cell>
          <cell r="Y13">
            <v>15</v>
          </cell>
        </row>
        <row r="14">
          <cell r="U14" t="str">
            <v>Parking Garage</v>
          </cell>
          <cell r="W14" t="str">
            <v>Storage, active</v>
          </cell>
          <cell r="X14">
            <v>0.8</v>
          </cell>
          <cell r="Y14">
            <v>20</v>
          </cell>
        </row>
        <row r="15">
          <cell r="U15" t="str">
            <v>Exit Signs</v>
          </cell>
          <cell r="W15" t="str">
            <v>Storage, inactive</v>
          </cell>
          <cell r="X15">
            <v>0.3</v>
          </cell>
          <cell r="Y15">
            <v>8</v>
          </cell>
        </row>
        <row r="16">
          <cell r="W16" t="str">
            <v>Workshop</v>
          </cell>
          <cell r="X16">
            <v>1.9</v>
          </cell>
          <cell r="Y16">
            <v>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GHSF Calculator"/>
      <sheetName val="Demand Savings Lookup"/>
      <sheetName val="Lookup"/>
      <sheetName val="Drop Down"/>
      <sheetName val="Introduction"/>
      <sheetName val="NYSERDA Reporting"/>
      <sheetName val="ERMs"/>
      <sheetName val="Basic Info"/>
      <sheetName val="Model Inputs"/>
      <sheetName val="Reporting Summary"/>
      <sheetName val="Avoided Costs"/>
      <sheetName val="Detailed Measures"/>
      <sheetName val="Results from eQUEST"/>
      <sheetName val="SG Appx Intro"/>
      <sheetName val="Project Size"/>
      <sheetName val="Windows eQuest"/>
      <sheetName val="DHW Demand"/>
      <sheetName val="Appliances"/>
      <sheetName val="Lighting Schedule"/>
      <sheetName val="Interior Lighting"/>
      <sheetName val="Exterior Lighting"/>
      <sheetName val="In-Unit Lighting"/>
      <sheetName val="Infiltration&amp;Ventilation"/>
      <sheetName val="EIR for PTAC and PTHP"/>
      <sheetName val="Water Savings"/>
      <sheetName val="Simulation Summary"/>
      <sheetName val="Admin"/>
      <sheetName val="RECS - Baseline"/>
      <sheetName val="RECS - Proposed"/>
      <sheetName val="Tables of Values"/>
      <sheetName val="Locator Map"/>
      <sheetName val="Side Calcs - Baseline"/>
      <sheetName val="ZipCode Map"/>
      <sheetName val="Worksheet - Design - Baseline"/>
      <sheetName val="Worksheet - Design - Proposed"/>
      <sheetName val="Side Calcs - Proposed"/>
    </sheetNames>
    <sheetDataSet>
      <sheetData sheetId="0"/>
      <sheetData sheetId="1"/>
      <sheetData sheetId="2"/>
      <sheetData sheetId="3"/>
      <sheetData sheetId="4">
        <row r="2">
          <cell r="U2" t="str">
            <v>Storage, active</v>
          </cell>
          <cell r="W2" t="str">
            <v>Conference/meeting/multipurpose</v>
          </cell>
          <cell r="X2">
            <v>1.3</v>
          </cell>
          <cell r="Y2">
            <v>30</v>
          </cell>
        </row>
        <row r="3">
          <cell r="U3" t="str">
            <v>Storage, inactive</v>
          </cell>
          <cell r="W3" t="str">
            <v>Corridor/Transition</v>
          </cell>
          <cell r="X3">
            <v>0.5</v>
          </cell>
          <cell r="Y3">
            <v>10</v>
          </cell>
        </row>
        <row r="4">
          <cell r="U4" t="str">
            <v>Food Preparation</v>
          </cell>
          <cell r="W4" t="str">
            <v>Dining Area - For Family Dining</v>
          </cell>
          <cell r="X4">
            <v>2.1</v>
          </cell>
          <cell r="Y4">
            <v>23</v>
          </cell>
        </row>
        <row r="5">
          <cell r="U5" t="str">
            <v>Dining Area - For Family Dining</v>
          </cell>
          <cell r="W5" t="str">
            <v>Electrical/Mechanical</v>
          </cell>
          <cell r="X5">
            <v>1.5</v>
          </cell>
          <cell r="Y5">
            <v>30</v>
          </cell>
        </row>
        <row r="6">
          <cell r="U6" t="str">
            <v>Lobby</v>
          </cell>
          <cell r="W6" t="str">
            <v>Exit Signs</v>
          </cell>
          <cell r="X6" t="str">
            <v>5 W/face</v>
          </cell>
          <cell r="Y6" t="str">
            <v>NA</v>
          </cell>
        </row>
        <row r="7">
          <cell r="U7" t="str">
            <v>Corridor/Transition</v>
          </cell>
          <cell r="W7">
            <v>0</v>
          </cell>
          <cell r="X7">
            <v>0</v>
          </cell>
          <cell r="Y7">
            <v>0</v>
          </cell>
        </row>
        <row r="8">
          <cell r="U8" t="str">
            <v>Stairs - Active</v>
          </cell>
          <cell r="W8" t="str">
            <v>Food Preparation</v>
          </cell>
          <cell r="X8">
            <v>1.2</v>
          </cell>
          <cell r="Y8">
            <v>40</v>
          </cell>
        </row>
        <row r="9">
          <cell r="U9" t="str">
            <v>Restroom</v>
          </cell>
          <cell r="W9" t="str">
            <v>Lobby</v>
          </cell>
          <cell r="X9">
            <v>1.3</v>
          </cell>
          <cell r="Y9">
            <v>16</v>
          </cell>
        </row>
        <row r="10">
          <cell r="U10" t="str">
            <v>Office</v>
          </cell>
          <cell r="W10" t="str">
            <v>Office</v>
          </cell>
          <cell r="X10">
            <v>1.1000000000000001</v>
          </cell>
          <cell r="Y10">
            <v>35</v>
          </cell>
        </row>
        <row r="11">
          <cell r="U11" t="str">
            <v>Conference/meeting/multipurpose</v>
          </cell>
          <cell r="W11" t="str">
            <v>Parking garage</v>
          </cell>
          <cell r="X11">
            <v>0.2</v>
          </cell>
          <cell r="Y11">
            <v>7</v>
          </cell>
        </row>
        <row r="12">
          <cell r="U12" t="str">
            <v>Electrical/Mechanical</v>
          </cell>
          <cell r="W12" t="str">
            <v>Restroom</v>
          </cell>
          <cell r="X12">
            <v>0.9</v>
          </cell>
          <cell r="Y12">
            <v>12</v>
          </cell>
        </row>
        <row r="13">
          <cell r="U13" t="str">
            <v>Workshop</v>
          </cell>
          <cell r="W13" t="str">
            <v>Stairs - Active</v>
          </cell>
          <cell r="X13">
            <v>0.6</v>
          </cell>
          <cell r="Y13">
            <v>15</v>
          </cell>
        </row>
        <row r="14">
          <cell r="U14" t="str">
            <v>Parking Garage</v>
          </cell>
          <cell r="W14" t="str">
            <v>Storage, active</v>
          </cell>
          <cell r="X14">
            <v>0.8</v>
          </cell>
          <cell r="Y14">
            <v>20</v>
          </cell>
        </row>
        <row r="15">
          <cell r="U15" t="str">
            <v>Exit Signs</v>
          </cell>
          <cell r="W15" t="str">
            <v>Storage, inactive</v>
          </cell>
          <cell r="X15">
            <v>0.3</v>
          </cell>
          <cell r="Y15">
            <v>8</v>
          </cell>
        </row>
        <row r="16">
          <cell r="W16" t="str">
            <v>Workshop</v>
          </cell>
          <cell r="X16">
            <v>1.9</v>
          </cell>
          <cell r="Y16">
            <v>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Opaque Envelope"/>
      <sheetName val="QC Checklist"/>
      <sheetName val="Envelope Lookup"/>
      <sheetName val="2 - Shading &amp; Fenestration"/>
      <sheetName val="3A - Interior Lighting"/>
      <sheetName val="3B - LPD by Space Type"/>
      <sheetName val="3C - Exterior Lighting"/>
      <sheetName val="LPD-Space by Space"/>
      <sheetName val="4 - Equipment"/>
      <sheetName val="5 - Service Water Heating"/>
      <sheetName val="6 - General HVAC"/>
      <sheetName val="7 - Air-Side HVAC Details"/>
      <sheetName val="8 - Water-Side HVAC Details"/>
      <sheetName val="Lighting Lookup"/>
      <sheetName val="HVAC Lookup"/>
      <sheetName val="Revision Log"/>
    </sheetNames>
    <sheetDataSet>
      <sheetData sheetId="0"/>
      <sheetData sheetId="1"/>
      <sheetData sheetId="2"/>
      <sheetData sheetId="3">
        <row r="1">
          <cell r="X1" t="str">
            <v>Nonmetal framing (all)</v>
          </cell>
          <cell r="Y1" t="str">
            <v>Metal framing (curtainwall/storefront)</v>
          </cell>
          <cell r="Z1" t="str">
            <v>Metal framing (entrance door)</v>
          </cell>
          <cell r="AA1" t="str">
            <v>Metal framing (all other)</v>
          </cell>
          <cell r="AC1" t="str">
            <v>Skylight with Curb, Glass, 0%-2.0%</v>
          </cell>
          <cell r="AD1" t="str">
            <v>Skylight with Curb, Glass, 2.1%-5.0%</v>
          </cell>
          <cell r="AE1" t="str">
            <v>Skylight with Curb, Plastic, 0%-2.0%</v>
          </cell>
          <cell r="AF1" t="str">
            <v>Skylight with Curb, Plastic, 2.1%-5.0%</v>
          </cell>
          <cell r="AG1" t="str">
            <v>Skylight without Curb, All, 0%-2.0%</v>
          </cell>
          <cell r="AH1" t="str">
            <v>Skylight without Curb, All, 2.1%-5.0%</v>
          </cell>
        </row>
        <row r="2">
          <cell r="BP2" t="str">
            <v>New</v>
          </cell>
          <cell r="BQ2" t="str">
            <v>Semiheated</v>
          </cell>
        </row>
        <row r="3">
          <cell r="BP3" t="str">
            <v/>
          </cell>
          <cell r="BQ3" t="str">
            <v/>
          </cell>
        </row>
        <row r="4">
          <cell r="BQ4" t="str">
            <v/>
          </cell>
        </row>
      </sheetData>
      <sheetData sheetId="4"/>
      <sheetData sheetId="5"/>
      <sheetData sheetId="6"/>
      <sheetData sheetId="7"/>
      <sheetData sheetId="8"/>
      <sheetData sheetId="9"/>
      <sheetData sheetId="10"/>
      <sheetData sheetId="11">
        <row r="28">
          <cell r="C28" t="str">
            <v>-</v>
          </cell>
        </row>
      </sheetData>
      <sheetData sheetId="12"/>
      <sheetData sheetId="13"/>
      <sheetData sheetId="14"/>
      <sheetData sheetId="15">
        <row r="9">
          <cell r="L9" t="str">
            <v>kBtu/h</v>
          </cell>
        </row>
        <row r="10">
          <cell r="L10" t="str">
            <v>tons</v>
          </cell>
          <cell r="U10">
            <v>0</v>
          </cell>
          <cell r="W10">
            <v>0.82499999999999996</v>
          </cell>
        </row>
        <row r="11">
          <cell r="L11" t="str">
            <v>kW</v>
          </cell>
          <cell r="U11">
            <v>1</v>
          </cell>
          <cell r="V11">
            <v>0.82499999999999996</v>
          </cell>
          <cell r="W11">
            <v>0.84</v>
          </cell>
        </row>
        <row r="12">
          <cell r="L12" t="str">
            <v>Btuh</v>
          </cell>
          <cell r="U12">
            <v>1.5</v>
          </cell>
          <cell r="V12">
            <v>0.84</v>
          </cell>
          <cell r="W12">
            <v>0.84</v>
          </cell>
        </row>
        <row r="13">
          <cell r="U13">
            <v>2</v>
          </cell>
          <cell r="V13">
            <v>0.84</v>
          </cell>
          <cell r="W13">
            <v>0.875</v>
          </cell>
        </row>
        <row r="14">
          <cell r="U14">
            <v>3</v>
          </cell>
          <cell r="V14">
            <v>0.875</v>
          </cell>
          <cell r="W14">
            <v>0.875</v>
          </cell>
        </row>
        <row r="15">
          <cell r="U15">
            <v>5</v>
          </cell>
          <cell r="V15">
            <v>0.875</v>
          </cell>
          <cell r="W15">
            <v>0.89500000000000002</v>
          </cell>
        </row>
        <row r="16">
          <cell r="U16">
            <v>7.5</v>
          </cell>
          <cell r="V16">
            <v>0.89500000000000002</v>
          </cell>
          <cell r="W16">
            <v>0.89500000000000002</v>
          </cell>
        </row>
        <row r="17">
          <cell r="U17">
            <v>10</v>
          </cell>
          <cell r="V17">
            <v>0.89500000000000002</v>
          </cell>
          <cell r="W17">
            <v>0.91</v>
          </cell>
        </row>
        <row r="18">
          <cell r="U18">
            <v>15</v>
          </cell>
          <cell r="V18">
            <v>0.91</v>
          </cell>
          <cell r="W18">
            <v>0.91</v>
          </cell>
        </row>
        <row r="19">
          <cell r="U19">
            <v>20</v>
          </cell>
          <cell r="V19">
            <v>0.91</v>
          </cell>
          <cell r="W19">
            <v>0.92400000000000004</v>
          </cell>
        </row>
        <row r="20">
          <cell r="U20">
            <v>25</v>
          </cell>
          <cell r="V20">
            <v>0.92400000000000004</v>
          </cell>
          <cell r="W20">
            <v>0.92400000000000004</v>
          </cell>
        </row>
        <row r="21">
          <cell r="U21">
            <v>30</v>
          </cell>
          <cell r="V21">
            <v>0.92400000000000004</v>
          </cell>
          <cell r="W21">
            <v>0.93</v>
          </cell>
        </row>
        <row r="22">
          <cell r="U22">
            <v>40</v>
          </cell>
          <cell r="V22">
            <v>0.93</v>
          </cell>
          <cell r="W22">
            <v>0.93</v>
          </cell>
        </row>
        <row r="23">
          <cell r="U23">
            <v>50</v>
          </cell>
          <cell r="V23">
            <v>0.93</v>
          </cell>
          <cell r="W23">
            <v>0.93600000000000005</v>
          </cell>
        </row>
        <row r="24">
          <cell r="U24">
            <v>60</v>
          </cell>
          <cell r="V24">
            <v>0.93600000000000005</v>
          </cell>
          <cell r="W24">
            <v>0.94099999999999995</v>
          </cell>
        </row>
        <row r="25">
          <cell r="U25">
            <v>75</v>
          </cell>
          <cell r="V25">
            <v>0.94099999999999995</v>
          </cell>
          <cell r="W25">
            <v>0.94499999999999995</v>
          </cell>
        </row>
        <row r="26">
          <cell r="U26">
            <v>100</v>
          </cell>
          <cell r="V26">
            <v>0.94499999999999995</v>
          </cell>
          <cell r="W26">
            <v>0.94499999999999995</v>
          </cell>
        </row>
        <row r="27">
          <cell r="U27">
            <v>125</v>
          </cell>
          <cell r="V27">
            <v>0.94499999999999995</v>
          </cell>
          <cell r="W27">
            <v>0.95</v>
          </cell>
        </row>
        <row r="28">
          <cell r="U28">
            <v>150</v>
          </cell>
          <cell r="V28">
            <v>0.95</v>
          </cell>
          <cell r="W28">
            <v>0.95</v>
          </cell>
        </row>
        <row r="29">
          <cell r="U29">
            <v>200</v>
          </cell>
          <cell r="V29">
            <v>0.95</v>
          </cell>
          <cell r="W29">
            <v>0.95</v>
          </cell>
        </row>
      </sheetData>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_Outputs_0"/>
      <sheetName val="Instructions"/>
      <sheetName val="Definitions"/>
      <sheetName val="General Information"/>
      <sheetName val="Multiple Buildings Details"/>
      <sheetName val="Schedules"/>
      <sheetName val="EFLH Calculator"/>
      <sheetName val="Multifamily Details"/>
      <sheetName val="Opaque Assemblies"/>
      <sheetName val="Shading and Fenestration"/>
      <sheetName val="DropdownData"/>
      <sheetName val="Envelope Assumptions"/>
      <sheetName val="Lighting Counts"/>
      <sheetName val="General Lighting"/>
      <sheetName val="Lighting Assumptions"/>
      <sheetName val="Process Loads"/>
      <sheetName val="Service Water Heating"/>
      <sheetName val="General HVAC"/>
      <sheetName val="Air-Side HVAC"/>
      <sheetName val="Water-Side HVAC"/>
      <sheetName val="Results from eQuest"/>
      <sheetName val="Results from Trace"/>
      <sheetName val="Performance_Outputs_1"/>
      <sheetName val="Performance_Outputs_0 old"/>
      <sheetName val="Performance_Outputs_Summary"/>
      <sheetName val="Summary"/>
      <sheetName val="HVAC Lookup"/>
      <sheetName val="District Energy Path 3"/>
    </sheetNames>
    <sheetDataSet>
      <sheetData sheetId="0"/>
      <sheetData sheetId="1"/>
      <sheetData sheetId="2"/>
      <sheetData sheetId="3">
        <row r="12">
          <cell r="I12" t="str">
            <v>IP</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_Outputs_0"/>
      <sheetName val="Instructions"/>
      <sheetName val="Definitions"/>
      <sheetName val="General Information"/>
      <sheetName val="Multiple Buildings Details"/>
      <sheetName val="Schedules"/>
      <sheetName val="EFLH Calculator"/>
      <sheetName val="Multifamily Details"/>
      <sheetName val="Opaque Assemblies"/>
      <sheetName val="Shading and Fenestration"/>
      <sheetName val="DropdownData"/>
      <sheetName val="Envelope Assumptions"/>
      <sheetName val="Lighting Counts"/>
      <sheetName val="General Lighting"/>
      <sheetName val="Lighting Assumptions"/>
      <sheetName val="Process Loads"/>
      <sheetName val="Service Water Heating"/>
      <sheetName val="General HVAC"/>
      <sheetName val="Air-Side HVAC"/>
      <sheetName val="Water-Side HVAC"/>
      <sheetName val="Results from eQuest"/>
      <sheetName val="Results from Trace"/>
      <sheetName val="Performance_Outputs_1"/>
      <sheetName val="Performance_Outputs_0 old"/>
      <sheetName val="Performance_Outputs_Summary"/>
      <sheetName val="Summary"/>
      <sheetName val="HVAC Lookup"/>
      <sheetName val="District Energy Path 3"/>
    </sheetNames>
    <sheetDataSet>
      <sheetData sheetId="0"/>
      <sheetData sheetId="1"/>
      <sheetData sheetId="2"/>
      <sheetData sheetId="3">
        <row r="12">
          <cell r="I12" t="str">
            <v>IP</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elope 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HVAC"/>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paque Envelope"/>
      <sheetName val="QC Checklist"/>
      <sheetName val="Envelope Lookup"/>
      <sheetName val="Shading &amp; Fenestration"/>
      <sheetName val="Lighting"/>
      <sheetName val="Equipment"/>
      <sheetName val="Service Water Heating"/>
      <sheetName val="General HVAC"/>
      <sheetName val="Air-Side HVAC Details"/>
      <sheetName val="Water-Side HVAC Details"/>
      <sheetName val="Lighting Lookup"/>
      <sheetName val="HVAC Lookup"/>
    </sheetNames>
    <sheetDataSet>
      <sheetData sheetId="0" refreshError="1"/>
      <sheetData sheetId="1" refreshError="1"/>
      <sheetData sheetId="2" refreshError="1"/>
      <sheetData sheetId="3">
        <row r="1">
          <cell r="X1" t="str">
            <v>Nonmetal framing (all)</v>
          </cell>
          <cell r="Y1" t="str">
            <v>Metal framing (curtainwall/storefront)</v>
          </cell>
          <cell r="Z1" t="str">
            <v>Metal framing (entrance door)</v>
          </cell>
          <cell r="AA1" t="str">
            <v>Metal framing (all other)</v>
          </cell>
          <cell r="AC1" t="str">
            <v>Skylight with Curb, Glass, 0%-2.0%</v>
          </cell>
          <cell r="AD1" t="str">
            <v>Skylight with Curb, Glass, 2.1%-5.0%</v>
          </cell>
          <cell r="AE1" t="str">
            <v>Skylight with Curb, Plastic, 0%-2.0%</v>
          </cell>
          <cell r="AF1" t="str">
            <v>Skylight with Curb, Plastic, 2.1%-5.0%</v>
          </cell>
          <cell r="AG1" t="str">
            <v>Skylight without Curb, All, 0%-2.0%</v>
          </cell>
          <cell r="AH1" t="str">
            <v>Skylight without Curb, All, 2.1%-5.0%</v>
          </cell>
        </row>
        <row r="2">
          <cell r="BP2" t="str">
            <v>New</v>
          </cell>
          <cell r="BQ2" t="str">
            <v>Residential</v>
          </cell>
        </row>
        <row r="3">
          <cell r="BP3" t="str">
            <v/>
          </cell>
          <cell r="BQ3" t="str">
            <v>Semiheated</v>
          </cell>
        </row>
        <row r="4">
          <cell r="BQ4" t="str">
            <v/>
          </cell>
        </row>
      </sheetData>
      <sheetData sheetId="4">
        <row r="37">
          <cell r="H37" t="str">
            <v>NFRC testing for site-assembled fenestration</v>
          </cell>
        </row>
        <row r="38">
          <cell r="H38" t="str">
            <v>NFRC testing for manufactured fenestration assemblies</v>
          </cell>
        </row>
        <row r="39">
          <cell r="H39" t="str">
            <v>Table A8.2 (windows) and Table A8.1 (skylights)</v>
          </cell>
        </row>
        <row r="40">
          <cell r="H40" t="str">
            <v>LBNL Window 5 or Window 6 calculations</v>
          </cell>
        </row>
        <row r="41">
          <cell r="H41" t="str">
            <v>Energy simulation includes separate frame and glazing</v>
          </cell>
        </row>
        <row r="42">
          <cell r="H42" t="str">
            <v>Other (Describe)</v>
          </cell>
        </row>
      </sheetData>
      <sheetData sheetId="5">
        <row r="27">
          <cell r="B27" t="str">
            <v>Dormitory-Living Quarters</v>
          </cell>
        </row>
        <row r="28">
          <cell r="B28" t="str">
            <v>Active Storage</v>
          </cell>
        </row>
        <row r="29">
          <cell r="B29" t="str">
            <v>Lobby</v>
          </cell>
        </row>
        <row r="30">
          <cell r="B30" t="str">
            <v>Corridor/Transition</v>
          </cell>
        </row>
        <row r="31">
          <cell r="B31" t="str">
            <v>Stairs-Active</v>
          </cell>
        </row>
        <row r="32">
          <cell r="B32" t="str">
            <v>Conference/Meeting/Multipurpose</v>
          </cell>
        </row>
        <row r="33">
          <cell r="B33" t="str">
            <v>Electrical/Mechanical</v>
          </cell>
        </row>
        <row r="34">
          <cell r="B34" t="str">
            <v>Office-Enclosed</v>
          </cell>
        </row>
        <row r="35">
          <cell r="B35" t="str">
            <v>Workshop</v>
          </cell>
        </row>
        <row r="36">
          <cell r="B36" t="str">
            <v>Restrooms</v>
          </cell>
        </row>
        <row r="37">
          <cell r="B37" t="str">
            <v>Gymnasium/Exercise Center-Playing Area</v>
          </cell>
        </row>
        <row r="38">
          <cell r="B38" t="str">
            <v>Dressing/Locker/Fitting Room</v>
          </cell>
        </row>
      </sheetData>
      <sheetData sheetId="6" refreshError="1"/>
      <sheetData sheetId="7" refreshError="1"/>
      <sheetData sheetId="8">
        <row r="20">
          <cell r="B20" t="str">
            <v>Heat Pump System</v>
          </cell>
        </row>
        <row r="21">
          <cell r="B21" t="str">
            <v>Unit Heater</v>
          </cell>
        </row>
        <row r="30">
          <cell r="C30" t="str">
            <v>System 1 - PTAC</v>
          </cell>
        </row>
        <row r="32">
          <cell r="C32" t="str">
            <v>-</v>
          </cell>
        </row>
      </sheetData>
      <sheetData sheetId="9" refreshError="1"/>
      <sheetData sheetId="10" refreshError="1"/>
      <sheetData sheetId="11"/>
      <sheetData sheetId="12">
        <row r="9">
          <cell r="L9" t="str">
            <v>kBtu/h</v>
          </cell>
        </row>
        <row r="10">
          <cell r="A10" t="str">
            <v>System 1 - PTAC</v>
          </cell>
          <cell r="B10">
            <v>1</v>
          </cell>
          <cell r="C10" t="str">
            <v>System 1 - PTAC</v>
          </cell>
          <cell r="D10" t="str">
            <v>System 1 (District Cooling) - 4-pipe Fan Coil with HW Boiler</v>
          </cell>
          <cell r="E10" t="str">
            <v>System 1 (District Heating) - PTAC</v>
          </cell>
          <cell r="F10" t="str">
            <v>System 1 (District Heating &amp; Cooling) - 4-pipe Fan Coil</v>
          </cell>
          <cell r="G10" t="str">
            <v>Describe the California Title-24 Baseline System Type</v>
          </cell>
          <cell r="H10">
            <v>2.9999999999999997E-4</v>
          </cell>
          <cell r="I10">
            <v>0</v>
          </cell>
          <cell r="J10">
            <v>0</v>
          </cell>
          <cell r="K10">
            <v>0</v>
          </cell>
          <cell r="L10" t="str">
            <v>tons</v>
          </cell>
          <cell r="U10">
            <v>0</v>
          </cell>
          <cell r="W10">
            <v>0.82499999999999996</v>
          </cell>
        </row>
        <row r="11">
          <cell r="A11" t="str">
            <v>System 2 - PTHP</v>
          </cell>
          <cell r="B11">
            <v>2</v>
          </cell>
          <cell r="C11" t="str">
            <v>System 2 - PTHP</v>
          </cell>
          <cell r="D11" t="str">
            <v>System 2 (District Cooling) - 4-pipe Fan Coil with HW Boiler</v>
          </cell>
          <cell r="E11" t="str">
            <v/>
          </cell>
          <cell r="F11" t="str">
            <v/>
          </cell>
          <cell r="G11" t="str">
            <v/>
          </cell>
          <cell r="H11">
            <v>2.9999999999999997E-4</v>
          </cell>
          <cell r="I11">
            <v>0</v>
          </cell>
          <cell r="J11">
            <v>0</v>
          </cell>
          <cell r="K11">
            <v>0</v>
          </cell>
          <cell r="L11" t="str">
            <v>kW</v>
          </cell>
          <cell r="U11">
            <v>1</v>
          </cell>
          <cell r="V11">
            <v>0.82499999999999996</v>
          </cell>
          <cell r="W11">
            <v>0.84</v>
          </cell>
        </row>
        <row r="12">
          <cell r="A12" t="str">
            <v>System 3 - PSZ-AC</v>
          </cell>
          <cell r="B12">
            <v>3</v>
          </cell>
          <cell r="C12" t="str">
            <v>System 3 - PSZ-AC</v>
          </cell>
          <cell r="D12" t="str">
            <v>System 3 (District Cooling) - 2-pipe CV AHU with Fossil Fuel Furnace</v>
          </cell>
          <cell r="E12" t="str">
            <v>System 3 (District Heating) - PSZ-AC with District Heating</v>
          </cell>
          <cell r="F12" t="str">
            <v>System 3 (District Heating &amp; Cooling) - 4-pipe CV AHU</v>
          </cell>
          <cell r="G12" t="str">
            <v/>
          </cell>
          <cell r="H12">
            <v>9.3999999999999997E-4</v>
          </cell>
          <cell r="I12">
            <v>1</v>
          </cell>
          <cell r="J12">
            <v>1</v>
          </cell>
          <cell r="K12">
            <v>0</v>
          </cell>
          <cell r="L12" t="str">
            <v>Btuh</v>
          </cell>
          <cell r="U12">
            <v>1.5</v>
          </cell>
          <cell r="V12">
            <v>0.84</v>
          </cell>
          <cell r="W12">
            <v>0.84</v>
          </cell>
        </row>
        <row r="13">
          <cell r="A13" t="str">
            <v>System 4 - PSZ-HP</v>
          </cell>
          <cell r="B13">
            <v>4</v>
          </cell>
          <cell r="C13" t="str">
            <v>System 4 - PSZ-HP</v>
          </cell>
          <cell r="D13" t="str">
            <v>System 4 (District Cooling) - 2-pipe CV AHU with Fossil Fuel Furnace</v>
          </cell>
          <cell r="E13" t="str">
            <v/>
          </cell>
          <cell r="F13" t="str">
            <v/>
          </cell>
          <cell r="G13" t="str">
            <v/>
          </cell>
          <cell r="H13">
            <v>9.3999999999999997E-4</v>
          </cell>
          <cell r="I13">
            <v>1</v>
          </cell>
          <cell r="J13">
            <v>1</v>
          </cell>
          <cell r="K13">
            <v>0</v>
          </cell>
          <cell r="U13">
            <v>2</v>
          </cell>
          <cell r="V13">
            <v>0.84</v>
          </cell>
          <cell r="W13">
            <v>0.875</v>
          </cell>
        </row>
        <row r="14">
          <cell r="A14" t="str">
            <v>System 5 - Packaged VAV with Reheat</v>
          </cell>
          <cell r="B14">
            <v>5</v>
          </cell>
          <cell r="C14" t="str">
            <v>System 5 - Packaged VAV with Reheat</v>
          </cell>
          <cell r="D14" t="str">
            <v>System 5 (District Cooling) - Change to System 7 - VAV with Reheat</v>
          </cell>
          <cell r="E14" t="str">
            <v>System 5 (District Heating) - Packaged VAV with Reheat</v>
          </cell>
          <cell r="F14" t="str">
            <v>System 5 (District Heating &amp; Cooling) - Change to System 7 - VAV with Reheat</v>
          </cell>
          <cell r="G14" t="str">
            <v/>
          </cell>
          <cell r="H14">
            <v>1.2999999999999999E-3</v>
          </cell>
          <cell r="I14">
            <v>1</v>
          </cell>
          <cell r="J14">
            <v>1</v>
          </cell>
          <cell r="K14">
            <v>0</v>
          </cell>
          <cell r="U14">
            <v>3</v>
          </cell>
          <cell r="V14">
            <v>0.875</v>
          </cell>
          <cell r="W14">
            <v>0.875</v>
          </cell>
        </row>
        <row r="15">
          <cell r="A15" t="str">
            <v>System 6 - Packaged VAV with PFP Boxes</v>
          </cell>
          <cell r="B15">
            <v>6</v>
          </cell>
          <cell r="C15" t="str">
            <v>System 6 - Packaged VAV with PFP Boxes</v>
          </cell>
          <cell r="D15" t="str">
            <v>System 6 (District Cooling) - Change to System 8 - VAV with PFP Boxes</v>
          </cell>
          <cell r="E15" t="str">
            <v/>
          </cell>
          <cell r="F15" t="str">
            <v/>
          </cell>
          <cell r="G15" t="str">
            <v/>
          </cell>
          <cell r="H15">
            <v>1.2999999999999999E-3</v>
          </cell>
          <cell r="I15">
            <v>1</v>
          </cell>
          <cell r="J15">
            <v>1</v>
          </cell>
          <cell r="K15">
            <v>0</v>
          </cell>
          <cell r="U15">
            <v>5</v>
          </cell>
          <cell r="V15">
            <v>0.875</v>
          </cell>
          <cell r="W15">
            <v>0.89500000000000002</v>
          </cell>
        </row>
        <row r="16">
          <cell r="A16" t="str">
            <v>System 7 - VAV with Reheat</v>
          </cell>
          <cell r="B16">
            <v>7</v>
          </cell>
          <cell r="C16" t="str">
            <v>System 7 - VAV with Reheat</v>
          </cell>
          <cell r="D16" t="str">
            <v>System 7 (District Cooling) - VAV with Reheat</v>
          </cell>
          <cell r="E16" t="str">
            <v>System 7 (District Heating) - VAV with Reheat</v>
          </cell>
          <cell r="F16" t="str">
            <v>System 7 (Heating &amp; Cooling) - VAV with Reheat</v>
          </cell>
          <cell r="G16" t="str">
            <v/>
          </cell>
          <cell r="H16">
            <v>1.2999999999999999E-3</v>
          </cell>
          <cell r="I16">
            <v>1</v>
          </cell>
          <cell r="J16">
            <v>1</v>
          </cell>
          <cell r="K16">
            <v>0</v>
          </cell>
          <cell r="U16">
            <v>7.5</v>
          </cell>
          <cell r="V16">
            <v>0.89500000000000002</v>
          </cell>
          <cell r="W16">
            <v>0.89500000000000002</v>
          </cell>
        </row>
        <row r="17">
          <cell r="A17" t="str">
            <v>System 8 - VAV with PFP Boxes</v>
          </cell>
          <cell r="B17">
            <v>8</v>
          </cell>
          <cell r="C17" t="str">
            <v>System 8 - VAV with PFP Boxes</v>
          </cell>
          <cell r="D17" t="str">
            <v>System 8 (District Cooling)- VAV with PFP Boxes</v>
          </cell>
          <cell r="E17" t="str">
            <v/>
          </cell>
          <cell r="F17" t="str">
            <v/>
          </cell>
          <cell r="G17" t="str">
            <v/>
          </cell>
          <cell r="H17">
            <v>1.2999999999999999E-3</v>
          </cell>
          <cell r="I17">
            <v>1</v>
          </cell>
          <cell r="J17">
            <v>1</v>
          </cell>
          <cell r="K17">
            <v>0</v>
          </cell>
          <cell r="U17">
            <v>10</v>
          </cell>
          <cell r="V17">
            <v>0.89500000000000002</v>
          </cell>
          <cell r="W17">
            <v>0.91</v>
          </cell>
        </row>
        <row r="18">
          <cell r="A18" t="str">
            <v>System 9 - Heating and Ventilation</v>
          </cell>
          <cell r="B18">
            <v>9</v>
          </cell>
          <cell r="C18" t="str">
            <v>System 9 - Heating and Ventilation</v>
          </cell>
          <cell r="D18" t="str">
            <v>System 9 - Heating and Ventilation</v>
          </cell>
          <cell r="E18" t="str">
            <v>System 9 (District Heating) - Heating and Ventilation</v>
          </cell>
          <cell r="F18" t="str">
            <v>System 9 (District Heating) - Heating and Ventilation</v>
          </cell>
          <cell r="G18" t="str">
            <v/>
          </cell>
          <cell r="H18">
            <v>2.9999999999999997E-4</v>
          </cell>
          <cell r="I18">
            <v>0</v>
          </cell>
          <cell r="J18">
            <v>0</v>
          </cell>
          <cell r="K18">
            <v>5.3999999999999998E-5</v>
          </cell>
          <cell r="U18">
            <v>15</v>
          </cell>
          <cell r="V18">
            <v>0.91</v>
          </cell>
          <cell r="W18">
            <v>0.91</v>
          </cell>
        </row>
        <row r="19">
          <cell r="A19" t="str">
            <v>System 10 - Heating and Ventilation</v>
          </cell>
          <cell r="B19">
            <v>10</v>
          </cell>
          <cell r="C19" t="str">
            <v>System 10 - Heating and Ventilation</v>
          </cell>
          <cell r="D19" t="str">
            <v>System 10 - Heating and Ventilation</v>
          </cell>
          <cell r="E19" t="str">
            <v/>
          </cell>
          <cell r="F19" t="str">
            <v/>
          </cell>
          <cell r="G19" t="str">
            <v/>
          </cell>
          <cell r="H19">
            <v>2.9999999999999997E-4</v>
          </cell>
          <cell r="I19">
            <v>0</v>
          </cell>
          <cell r="J19">
            <v>0</v>
          </cell>
          <cell r="K19">
            <v>5.3999999999999998E-5</v>
          </cell>
          <cell r="U19">
            <v>20</v>
          </cell>
          <cell r="V19">
            <v>0.91</v>
          </cell>
          <cell r="W19">
            <v>0.92400000000000004</v>
          </cell>
        </row>
        <row r="20">
          <cell r="A20" t="str">
            <v/>
          </cell>
          <cell r="B20">
            <v>1</v>
          </cell>
          <cell r="C20" t="str">
            <v/>
          </cell>
          <cell r="D20" t="str">
            <v>System 1 - PTAC</v>
          </cell>
          <cell r="E20" t="str">
            <v>System 1 - PTAC</v>
          </cell>
          <cell r="F20" t="str">
            <v>System 1 - PTAC</v>
          </cell>
          <cell r="G20" t="str">
            <v/>
          </cell>
          <cell r="H20">
            <v>2.9999999999999997E-4</v>
          </cell>
          <cell r="I20">
            <v>0</v>
          </cell>
          <cell r="J20">
            <v>0</v>
          </cell>
          <cell r="K20">
            <v>0</v>
          </cell>
          <cell r="U20">
            <v>25</v>
          </cell>
          <cell r="V20">
            <v>0.92400000000000004</v>
          </cell>
          <cell r="W20">
            <v>0.92400000000000004</v>
          </cell>
        </row>
        <row r="21">
          <cell r="A21" t="str">
            <v/>
          </cell>
          <cell r="B21">
            <v>2</v>
          </cell>
          <cell r="C21" t="str">
            <v/>
          </cell>
          <cell r="D21" t="str">
            <v>System 2 - PTHP</v>
          </cell>
          <cell r="E21" t="str">
            <v>System 2 - PTHP</v>
          </cell>
          <cell r="F21" t="str">
            <v>System 2 - PTHP</v>
          </cell>
          <cell r="G21" t="str">
            <v/>
          </cell>
          <cell r="H21">
            <v>2.9999999999999997E-4</v>
          </cell>
          <cell r="I21">
            <v>0</v>
          </cell>
          <cell r="J21">
            <v>0</v>
          </cell>
          <cell r="K21">
            <v>0</v>
          </cell>
          <cell r="U21">
            <v>30</v>
          </cell>
          <cell r="V21">
            <v>0.92400000000000004</v>
          </cell>
          <cell r="W21">
            <v>0.93</v>
          </cell>
        </row>
        <row r="22">
          <cell r="A22" t="str">
            <v/>
          </cell>
          <cell r="B22">
            <v>3</v>
          </cell>
          <cell r="C22" t="str">
            <v/>
          </cell>
          <cell r="D22" t="str">
            <v>System 3 - PSZ-AC</v>
          </cell>
          <cell r="E22" t="str">
            <v>System 3 - PSZ-AC</v>
          </cell>
          <cell r="F22" t="str">
            <v>System 3 - PSZ-AC</v>
          </cell>
          <cell r="G22" t="str">
            <v/>
          </cell>
          <cell r="H22">
            <v>9.3999999999999997E-4</v>
          </cell>
          <cell r="I22">
            <v>1</v>
          </cell>
          <cell r="J22">
            <v>1</v>
          </cell>
          <cell r="K22">
            <v>0</v>
          </cell>
          <cell r="U22">
            <v>40</v>
          </cell>
          <cell r="V22">
            <v>0.93</v>
          </cell>
          <cell r="W22">
            <v>0.93</v>
          </cell>
        </row>
        <row r="23">
          <cell r="A23" t="str">
            <v/>
          </cell>
          <cell r="B23">
            <v>4</v>
          </cell>
          <cell r="C23" t="str">
            <v/>
          </cell>
          <cell r="D23" t="str">
            <v>System 4 - PSZ-HP</v>
          </cell>
          <cell r="E23" t="str">
            <v>System 4 - PSZ-HP</v>
          </cell>
          <cell r="F23" t="str">
            <v>System 4 - PSZ-HP</v>
          </cell>
          <cell r="G23" t="str">
            <v/>
          </cell>
          <cell r="H23">
            <v>9.3999999999999997E-4</v>
          </cell>
          <cell r="I23">
            <v>1</v>
          </cell>
          <cell r="J23">
            <v>1</v>
          </cell>
          <cell r="K23">
            <v>0</v>
          </cell>
          <cell r="U23">
            <v>50</v>
          </cell>
          <cell r="V23">
            <v>0.93</v>
          </cell>
          <cell r="W23">
            <v>0.93600000000000005</v>
          </cell>
        </row>
        <row r="24">
          <cell r="A24" t="str">
            <v/>
          </cell>
          <cell r="B24">
            <v>5</v>
          </cell>
          <cell r="C24" t="str">
            <v/>
          </cell>
          <cell r="D24" t="str">
            <v>System 5 - Packaged VAV with Reheat</v>
          </cell>
          <cell r="E24" t="str">
            <v>System 5 - Packaged VAV with Reheat</v>
          </cell>
          <cell r="F24" t="str">
            <v>System 5 - Packaged VAV with Reheat</v>
          </cell>
          <cell r="G24" t="str">
            <v/>
          </cell>
          <cell r="H24">
            <v>1.2999999999999999E-3</v>
          </cell>
          <cell r="I24">
            <v>1</v>
          </cell>
          <cell r="J24">
            <v>1</v>
          </cell>
          <cell r="K24">
            <v>0</v>
          </cell>
          <cell r="U24">
            <v>60</v>
          </cell>
          <cell r="V24">
            <v>0.93600000000000005</v>
          </cell>
          <cell r="W24">
            <v>0.94099999999999995</v>
          </cell>
        </row>
        <row r="25">
          <cell r="A25" t="str">
            <v/>
          </cell>
          <cell r="B25">
            <v>6</v>
          </cell>
          <cell r="C25" t="str">
            <v/>
          </cell>
          <cell r="D25" t="str">
            <v>System 6 - Packaged VAV with PFP Boxes</v>
          </cell>
          <cell r="E25" t="str">
            <v>System 6 - Packaged VAV with PFP Boxes</v>
          </cell>
          <cell r="F25" t="str">
            <v>System 6 - Packaged VAV with PFP Boxes</v>
          </cell>
          <cell r="G25" t="str">
            <v/>
          </cell>
          <cell r="H25">
            <v>1.2999999999999999E-3</v>
          </cell>
          <cell r="I25">
            <v>1</v>
          </cell>
          <cell r="J25">
            <v>1</v>
          </cell>
          <cell r="K25">
            <v>0</v>
          </cell>
          <cell r="U25">
            <v>75</v>
          </cell>
          <cell r="V25">
            <v>0.94099999999999995</v>
          </cell>
          <cell r="W25">
            <v>0.94499999999999995</v>
          </cell>
        </row>
        <row r="26">
          <cell r="A26" t="str">
            <v/>
          </cell>
          <cell r="B26">
            <v>7</v>
          </cell>
          <cell r="C26" t="str">
            <v/>
          </cell>
          <cell r="D26" t="str">
            <v>System 7 - VAV with Reheat</v>
          </cell>
          <cell r="E26" t="str">
            <v>System 7 - VAV with Reheat</v>
          </cell>
          <cell r="F26" t="str">
            <v>System 7 - VAV with Reheat</v>
          </cell>
          <cell r="G26" t="str">
            <v/>
          </cell>
          <cell r="H26">
            <v>1.2999999999999999E-3</v>
          </cell>
          <cell r="I26">
            <v>1</v>
          </cell>
          <cell r="J26">
            <v>1</v>
          </cell>
          <cell r="K26">
            <v>0</v>
          </cell>
          <cell r="U26">
            <v>100</v>
          </cell>
          <cell r="V26">
            <v>0.94499999999999995</v>
          </cell>
          <cell r="W26">
            <v>0.94499999999999995</v>
          </cell>
        </row>
        <row r="27">
          <cell r="A27" t="str">
            <v/>
          </cell>
          <cell r="B27">
            <v>8</v>
          </cell>
          <cell r="C27" t="str">
            <v/>
          </cell>
          <cell r="D27" t="str">
            <v>System 8 - VAV with PFP Boxes</v>
          </cell>
          <cell r="E27" t="str">
            <v>System 8 - VAV with PFP Boxes</v>
          </cell>
          <cell r="F27" t="str">
            <v>System 8 - VAV with PFP Boxes</v>
          </cell>
          <cell r="G27" t="str">
            <v/>
          </cell>
          <cell r="H27">
            <v>1.2999999999999999E-3</v>
          </cell>
          <cell r="I27">
            <v>1</v>
          </cell>
          <cell r="J27">
            <v>1</v>
          </cell>
          <cell r="K27">
            <v>0</v>
          </cell>
          <cell r="U27">
            <v>125</v>
          </cell>
          <cell r="V27">
            <v>0.94499999999999995</v>
          </cell>
          <cell r="W27">
            <v>0.95</v>
          </cell>
        </row>
        <row r="28">
          <cell r="A28" t="str">
            <v/>
          </cell>
          <cell r="B28">
            <v>9</v>
          </cell>
          <cell r="C28" t="str">
            <v/>
          </cell>
          <cell r="D28" t="str">
            <v/>
          </cell>
          <cell r="E28" t="str">
            <v>System 9 - Heating and Ventilation</v>
          </cell>
          <cell r="F28" t="str">
            <v>System 9 - Heating and Ventilation</v>
          </cell>
          <cell r="G28" t="str">
            <v/>
          </cell>
          <cell r="H28">
            <v>2.9999999999999997E-4</v>
          </cell>
          <cell r="I28">
            <v>0</v>
          </cell>
          <cell r="J28">
            <v>0</v>
          </cell>
          <cell r="K28">
            <v>5.3999999999999998E-5</v>
          </cell>
          <cell r="U28">
            <v>150</v>
          </cell>
          <cell r="V28">
            <v>0.95</v>
          </cell>
          <cell r="W28">
            <v>0.95</v>
          </cell>
        </row>
        <row r="29">
          <cell r="A29" t="str">
            <v/>
          </cell>
          <cell r="B29">
            <v>10</v>
          </cell>
          <cell r="C29" t="str">
            <v/>
          </cell>
          <cell r="D29" t="str">
            <v/>
          </cell>
          <cell r="E29" t="str">
            <v>System 10 - Heating and Ventilation</v>
          </cell>
          <cell r="F29" t="str">
            <v>System 10 - Heating and Ventilation</v>
          </cell>
          <cell r="G29" t="str">
            <v/>
          </cell>
          <cell r="H29">
            <v>2.9999999999999997E-4</v>
          </cell>
          <cell r="I29">
            <v>0</v>
          </cell>
          <cell r="J29">
            <v>0</v>
          </cell>
          <cell r="K29">
            <v>5.3999999999999998E-5</v>
          </cell>
          <cell r="U29">
            <v>200</v>
          </cell>
          <cell r="V29">
            <v>0.95</v>
          </cell>
          <cell r="W29">
            <v>0.95</v>
          </cell>
        </row>
        <row r="33">
          <cell r="C33" t="str">
            <v>System 1 - PTAC</v>
          </cell>
          <cell r="D33" t="str">
            <v>System 2 - PTHP</v>
          </cell>
          <cell r="E33" t="str">
            <v>System 1 - PTAC</v>
          </cell>
          <cell r="F33" t="str">
            <v>System 9 - Heating and Ventilation</v>
          </cell>
          <cell r="G33" t="str">
            <v>System 3 - PSZ-AC</v>
          </cell>
          <cell r="H33" t="str">
            <v>System 1 - PTAC</v>
          </cell>
          <cell r="I33" t="str">
            <v>System 5 - Packaged VAV with Reheat</v>
          </cell>
        </row>
        <row r="34">
          <cell r="C34" t="str">
            <v>System 2 - PTHP</v>
          </cell>
          <cell r="D34" t="str">
            <v>System 3 - PSZ-AC</v>
          </cell>
          <cell r="E34" t="str">
            <v>System 1 (District Cooling) - 4-pipe Fan Coil with HW Boiler</v>
          </cell>
          <cell r="F34" t="str">
            <v>System 10 - Heating and Ventilation</v>
          </cell>
          <cell r="G34" t="str">
            <v>System 4 - PSZ-HP</v>
          </cell>
          <cell r="H34" t="str">
            <v>System 1 (District Cooling) - 4-pipe Fan Coil with HW Boiler</v>
          </cell>
          <cell r="I34" t="str">
            <v>System 5 (District Cooling) - Change to System 7 - VAV with Reheat</v>
          </cell>
        </row>
        <row r="35">
          <cell r="C35" t="str">
            <v>System 3 - PSZ-AC</v>
          </cell>
          <cell r="D35" t="str">
            <v>System 3 (District Cooling) - 2-pipe CV AHU with Fossil Fuel Furnace</v>
          </cell>
          <cell r="E35" t="str">
            <v>System 1 (District Heating) - PTAC</v>
          </cell>
          <cell r="F35" t="str">
            <v>System 9 (District Heating) - Heating and Ventilation</v>
          </cell>
          <cell r="G35" t="str">
            <v>System 9 - Heating and Ventilation</v>
          </cell>
          <cell r="H35" t="str">
            <v>System 1 (District Heating) - PTAC</v>
          </cell>
          <cell r="I35" t="str">
            <v>System 5 (District Heating) - Packaged VAV with Reheat</v>
          </cell>
        </row>
        <row r="36">
          <cell r="C36" t="str">
            <v>System 4 - PSZ-HP</v>
          </cell>
          <cell r="D36" t="str">
            <v>System 4 - PSZ-HP</v>
          </cell>
          <cell r="E36" t="str">
            <v>System 1 (District Heating &amp; Cooling) - 4-pipe Fan Coil</v>
          </cell>
          <cell r="G36" t="str">
            <v>System 10 - Heating and Ventilation</v>
          </cell>
          <cell r="H36" t="str">
            <v>System 1 (District Heating &amp; Cooling) - 4-pipe Fan Coil</v>
          </cell>
          <cell r="I36" t="str">
            <v>System 5 (District Heating &amp; Cooling) - Change to System 7 - VAV with Reheat</v>
          </cell>
        </row>
        <row r="37">
          <cell r="C37" t="str">
            <v>System 5 - Packaged VAV with Reheat</v>
          </cell>
          <cell r="D37" t="str">
            <v>System 4 (District Cooling) - 2-pipe CV AHU with Fossil Fuel Furnace</v>
          </cell>
          <cell r="E37" t="str">
            <v>System 1 (District Heating) - PTAC</v>
          </cell>
          <cell r="G37" t="str">
            <v>System 3 (District Cooling) - 2-pipe CV AHU with Fossil Fuel Furnace</v>
          </cell>
          <cell r="H37" t="str">
            <v>System 2 - PTHP</v>
          </cell>
          <cell r="I37" t="str">
            <v>System 6 - Packaged VAV with PFP Boxes</v>
          </cell>
        </row>
        <row r="38">
          <cell r="C38" t="str">
            <v>System 6 - Packaged VAV with PFP Boxes</v>
          </cell>
          <cell r="D38" t="str">
            <v>System 9 - Heating and Ventilation</v>
          </cell>
          <cell r="E38" t="str">
            <v>System 1 (District Heating &amp; Cooling) - 4-pipe Fan Coil</v>
          </cell>
          <cell r="G38" t="str">
            <v>System 4 (District Cooling) - 2-pipe CV AHU with Fossil Fuel Furnace</v>
          </cell>
          <cell r="H38" t="str">
            <v>System 2 (District Cooling) - 4-pipe Fan Coil with HW Boiler</v>
          </cell>
          <cell r="I38" t="str">
            <v>System 6 (District Cooling) - Change to System 8 - VAV with PFP Boxes</v>
          </cell>
        </row>
        <row r="39">
          <cell r="C39" t="str">
            <v>System 1 (District Heating) - PTAC</v>
          </cell>
          <cell r="E39" t="str">
            <v>System 2 - PTHP</v>
          </cell>
          <cell r="H39" t="str">
            <v>System 9 - Heating and Ventilation</v>
          </cell>
          <cell r="I39" t="str">
            <v>System 7 - VAV with Reheat</v>
          </cell>
        </row>
        <row r="40">
          <cell r="C40" t="str">
            <v>System 3 (District Heating) - PSZ-AC with District Heating</v>
          </cell>
          <cell r="E40" t="str">
            <v>System 2 (District Cooling) - 4-pipe Fan Coil with HW Boiler</v>
          </cell>
          <cell r="H40" t="str">
            <v>System 9 - Heating and Ventilation</v>
          </cell>
          <cell r="I40" t="str">
            <v>System 7 (District Cooling) - VAV with Reheat</v>
          </cell>
        </row>
        <row r="41">
          <cell r="C41" t="str">
            <v>System 5 (District Heating) - Packaged VAV with Reheat</v>
          </cell>
          <cell r="E41" t="str">
            <v>System 9 - Heating and Ventilation</v>
          </cell>
          <cell r="H41" t="str">
            <v>System 9 (District Heating) - Heating and Ventilation</v>
          </cell>
          <cell r="I41" t="str">
            <v>System 7 (District Heating) - VAV with Reheat</v>
          </cell>
        </row>
        <row r="42">
          <cell r="E42" t="str">
            <v>System 9 (District Heating) - Heating and Ventilation</v>
          </cell>
          <cell r="H42" t="str">
            <v>System 9 (District Heating) - Heating and Ventilation</v>
          </cell>
          <cell r="I42" t="str">
            <v>System 7 (Heating &amp; Cooling) - VAV with Reheat</v>
          </cell>
        </row>
        <row r="43">
          <cell r="E43" t="str">
            <v>System 10 - Heating and Ventilation</v>
          </cell>
          <cell r="H43" t="str">
            <v>System 10 - Heating and Ventilation</v>
          </cell>
          <cell r="I43" t="str">
            <v>System 8 - VAV with PFP Boxes</v>
          </cell>
        </row>
        <row r="44">
          <cell r="H44" t="str">
            <v>System 10 - Heating and Ventilation</v>
          </cell>
          <cell r="I44" t="str">
            <v>System 8 (District Cooling)- VAV with PFP Boxes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Opaque Envelope"/>
      <sheetName val="QC Checklist"/>
      <sheetName val="Envelope Lookup"/>
      <sheetName val="2 - Shading &amp; Fenestration"/>
      <sheetName val="3A - Interior Lighting"/>
      <sheetName val="3B - LPD by Space Type"/>
      <sheetName val="3C - Exterior Lighting"/>
      <sheetName val="LPD-Space by Space"/>
      <sheetName val="4 - Equipment"/>
      <sheetName val="5 - Service Water Heating"/>
      <sheetName val="6 - General HVAC"/>
      <sheetName val="7 - Air-Side HVAC Details"/>
      <sheetName val="8 - Water-Side HVAC Details"/>
      <sheetName val="Lighting Lookup"/>
      <sheetName val="HVAC Lookup"/>
      <sheetName val="Revision Log"/>
    </sheetNames>
    <sheetDataSet>
      <sheetData sheetId="0"/>
      <sheetData sheetId="1"/>
      <sheetData sheetId="2"/>
      <sheetData sheetId="3">
        <row r="1">
          <cell r="X1" t="str">
            <v>Nonmetal framing (all)</v>
          </cell>
          <cell r="Y1" t="str">
            <v>Metal framing (curtainwall/storefront)</v>
          </cell>
          <cell r="Z1" t="str">
            <v>Metal framing (entrance door)</v>
          </cell>
          <cell r="AA1" t="str">
            <v>Metal framing (all other)</v>
          </cell>
          <cell r="AC1" t="str">
            <v>Skylight with Curb, Glass, 0%-2.0%</v>
          </cell>
          <cell r="AD1" t="str">
            <v>Skylight with Curb, Glass, 2.1%-5.0%</v>
          </cell>
          <cell r="AE1" t="str">
            <v>Skylight with Curb, Plastic, 0%-2.0%</v>
          </cell>
          <cell r="AF1" t="str">
            <v>Skylight with Curb, Plastic, 2.1%-5.0%</v>
          </cell>
          <cell r="AG1" t="str">
            <v>Skylight without Curb, All, 0%-2.0%</v>
          </cell>
          <cell r="AH1" t="str">
            <v>Skylight without Curb, All, 2.1%-5.0%</v>
          </cell>
        </row>
        <row r="2">
          <cell r="BP2" t="str">
            <v>New</v>
          </cell>
          <cell r="BQ2" t="str">
            <v>Semiheated</v>
          </cell>
        </row>
        <row r="3">
          <cell r="BP3" t="str">
            <v/>
          </cell>
          <cell r="BQ3" t="str">
            <v/>
          </cell>
        </row>
        <row r="4">
          <cell r="BQ4" t="str">
            <v/>
          </cell>
        </row>
      </sheetData>
      <sheetData sheetId="4"/>
      <sheetData sheetId="5"/>
      <sheetData sheetId="6"/>
      <sheetData sheetId="7"/>
      <sheetData sheetId="8"/>
      <sheetData sheetId="9"/>
      <sheetData sheetId="10"/>
      <sheetData sheetId="11">
        <row r="28">
          <cell r="C28" t="str">
            <v>-</v>
          </cell>
        </row>
        <row r="29">
          <cell r="C29" t="str">
            <v/>
          </cell>
        </row>
      </sheetData>
      <sheetData sheetId="12"/>
      <sheetData sheetId="13"/>
      <sheetData sheetId="14"/>
      <sheetData sheetId="15">
        <row r="9">
          <cell r="L9" t="str">
            <v>kBtu/h</v>
          </cell>
        </row>
        <row r="10">
          <cell r="A10" t="str">
            <v>System 1 - PTAC</v>
          </cell>
          <cell r="B10">
            <v>1</v>
          </cell>
          <cell r="C10" t="str">
            <v>System 1 - PTAC</v>
          </cell>
          <cell r="D10" t="str">
            <v>System 1 (District Cooling) - 4-pipe Fan Coil with HW Boiler</v>
          </cell>
          <cell r="E10" t="str">
            <v>System 1 (District Heating) - PTAC</v>
          </cell>
          <cell r="F10" t="str">
            <v>System 1 (District Heating &amp; Cooling) - 4-pipe Fan Coil</v>
          </cell>
          <cell r="G10" t="str">
            <v>Describe the California Title-24 Baseline System Type</v>
          </cell>
          <cell r="H10">
            <v>2.9999999999999997E-4</v>
          </cell>
          <cell r="I10">
            <v>0</v>
          </cell>
          <cell r="J10">
            <v>0</v>
          </cell>
          <cell r="K10">
            <v>0</v>
          </cell>
          <cell r="L10" t="str">
            <v>tons</v>
          </cell>
          <cell r="U10">
            <v>0</v>
          </cell>
          <cell r="W10">
            <v>0.82499999999999996</v>
          </cell>
        </row>
        <row r="11">
          <cell r="A11" t="str">
            <v>System 2 - PTHP</v>
          </cell>
          <cell r="B11">
            <v>2</v>
          </cell>
          <cell r="C11" t="str">
            <v>System 2 - PTHP</v>
          </cell>
          <cell r="D11" t="str">
            <v>System 2 (District Cooling) - 4-pipe Fan Coil with HW Boiler</v>
          </cell>
          <cell r="E11" t="str">
            <v/>
          </cell>
          <cell r="F11" t="str">
            <v/>
          </cell>
          <cell r="G11" t="str">
            <v/>
          </cell>
          <cell r="H11">
            <v>2.9999999999999997E-4</v>
          </cell>
          <cell r="I11">
            <v>0</v>
          </cell>
          <cell r="J11">
            <v>0</v>
          </cell>
          <cell r="K11">
            <v>0</v>
          </cell>
          <cell r="L11" t="str">
            <v>kW</v>
          </cell>
          <cell r="U11">
            <v>1</v>
          </cell>
          <cell r="V11">
            <v>0.82499999999999996</v>
          </cell>
          <cell r="W11">
            <v>0.84</v>
          </cell>
        </row>
        <row r="12">
          <cell r="A12" t="str">
            <v>System 3 - PSZ-AC</v>
          </cell>
          <cell r="B12">
            <v>3</v>
          </cell>
          <cell r="C12" t="str">
            <v>System 3 - PSZ-AC</v>
          </cell>
          <cell r="D12" t="str">
            <v>System 3 (District Cooling) - 2-pipe CV AHU with Fossil Fuel Furnace</v>
          </cell>
          <cell r="E12" t="str">
            <v>System 3 (District Heating) - PSZ-AC with District Heating</v>
          </cell>
          <cell r="F12" t="str">
            <v>System 3 (District Heating &amp; Cooling) - 4-pipe CV AHU</v>
          </cell>
          <cell r="G12" t="str">
            <v/>
          </cell>
          <cell r="H12">
            <v>9.3999999999999997E-4</v>
          </cell>
          <cell r="I12">
            <v>1</v>
          </cell>
          <cell r="J12">
            <v>1</v>
          </cell>
          <cell r="K12">
            <v>0</v>
          </cell>
          <cell r="L12" t="str">
            <v>Btuh</v>
          </cell>
          <cell r="U12">
            <v>1.5</v>
          </cell>
          <cell r="V12">
            <v>0.84</v>
          </cell>
          <cell r="W12">
            <v>0.84</v>
          </cell>
        </row>
        <row r="13">
          <cell r="A13" t="str">
            <v>System 4 - PSZ-HP</v>
          </cell>
          <cell r="B13">
            <v>4</v>
          </cell>
          <cell r="C13" t="str">
            <v>System 4 - PSZ-HP</v>
          </cell>
          <cell r="D13" t="str">
            <v>System 4 (District Cooling) - 2-pipe CV AHU with Fossil Fuel Furnace</v>
          </cell>
          <cell r="E13" t="str">
            <v/>
          </cell>
          <cell r="F13" t="str">
            <v/>
          </cell>
          <cell r="G13" t="str">
            <v/>
          </cell>
          <cell r="H13">
            <v>9.3999999999999997E-4</v>
          </cell>
          <cell r="I13">
            <v>1</v>
          </cell>
          <cell r="J13">
            <v>1</v>
          </cell>
          <cell r="K13">
            <v>0</v>
          </cell>
          <cell r="U13">
            <v>2</v>
          </cell>
          <cell r="V13">
            <v>0.84</v>
          </cell>
          <cell r="W13">
            <v>0.875</v>
          </cell>
        </row>
        <row r="14">
          <cell r="A14" t="str">
            <v>System 5 - Packaged VAV with Reheat</v>
          </cell>
          <cell r="B14">
            <v>5</v>
          </cell>
          <cell r="C14" t="str">
            <v>System 5 - Packaged VAV with Reheat</v>
          </cell>
          <cell r="D14" t="str">
            <v>System 5 (District Cooling) - Change to System 7 - VAV with Reheat</v>
          </cell>
          <cell r="E14" t="str">
            <v>System 5 (District Heating) - Packaged VAV with Reheat</v>
          </cell>
          <cell r="F14" t="str">
            <v>System 5 (District Heating &amp; Cooling) - Change to System 7 - VAV with Reheat</v>
          </cell>
          <cell r="G14" t="str">
            <v/>
          </cell>
          <cell r="H14">
            <v>1.2999999999999999E-3</v>
          </cell>
          <cell r="I14">
            <v>1</v>
          </cell>
          <cell r="J14">
            <v>1</v>
          </cell>
          <cell r="K14">
            <v>0</v>
          </cell>
          <cell r="U14">
            <v>3</v>
          </cell>
          <cell r="V14">
            <v>0.875</v>
          </cell>
          <cell r="W14">
            <v>0.875</v>
          </cell>
        </row>
        <row r="15">
          <cell r="A15" t="str">
            <v>System 6 - Packaged VAV with PFP Boxes</v>
          </cell>
          <cell r="B15">
            <v>6</v>
          </cell>
          <cell r="C15" t="str">
            <v>System 6 - Packaged VAV with PFP Boxes</v>
          </cell>
          <cell r="D15" t="str">
            <v>System 6 (District Cooling) - Change to System 8 - VAV with PFP Boxes</v>
          </cell>
          <cell r="E15" t="str">
            <v/>
          </cell>
          <cell r="F15" t="str">
            <v/>
          </cell>
          <cell r="G15" t="str">
            <v/>
          </cell>
          <cell r="H15">
            <v>1.2999999999999999E-3</v>
          </cell>
          <cell r="I15">
            <v>1</v>
          </cell>
          <cell r="J15">
            <v>1</v>
          </cell>
          <cell r="K15">
            <v>0</v>
          </cell>
          <cell r="U15">
            <v>5</v>
          </cell>
          <cell r="V15">
            <v>0.875</v>
          </cell>
          <cell r="W15">
            <v>0.89500000000000002</v>
          </cell>
        </row>
        <row r="16">
          <cell r="A16" t="str">
            <v>System 7 - VAV with Reheat</v>
          </cell>
          <cell r="B16">
            <v>7</v>
          </cell>
          <cell r="C16" t="str">
            <v>System 7 - VAV with Reheat</v>
          </cell>
          <cell r="D16" t="str">
            <v>System 7 (District Cooling) - VAV with Reheat</v>
          </cell>
          <cell r="E16" t="str">
            <v>System 7 (District Heating) - VAV with Reheat</v>
          </cell>
          <cell r="F16" t="str">
            <v>System 7 (Heating &amp; Cooling) - VAV with Reheat</v>
          </cell>
          <cell r="G16" t="str">
            <v/>
          </cell>
          <cell r="H16">
            <v>1.2999999999999999E-3</v>
          </cell>
          <cell r="I16">
            <v>1</v>
          </cell>
          <cell r="J16">
            <v>1</v>
          </cell>
          <cell r="K16">
            <v>0</v>
          </cell>
          <cell r="U16">
            <v>7.5</v>
          </cell>
          <cell r="V16">
            <v>0.89500000000000002</v>
          </cell>
          <cell r="W16">
            <v>0.89500000000000002</v>
          </cell>
        </row>
        <row r="17">
          <cell r="A17" t="str">
            <v>System 8 - VAV with PFP Boxes</v>
          </cell>
          <cell r="B17">
            <v>8</v>
          </cell>
          <cell r="C17" t="str">
            <v>System 8 - VAV with PFP Boxes</v>
          </cell>
          <cell r="D17" t="str">
            <v>System 8 (District Cooling)- VAV with PFP Boxes</v>
          </cell>
          <cell r="E17" t="str">
            <v/>
          </cell>
          <cell r="F17" t="str">
            <v/>
          </cell>
          <cell r="G17" t="str">
            <v/>
          </cell>
          <cell r="H17">
            <v>1.2999999999999999E-3</v>
          </cell>
          <cell r="I17">
            <v>1</v>
          </cell>
          <cell r="J17">
            <v>1</v>
          </cell>
          <cell r="K17">
            <v>0</v>
          </cell>
          <cell r="U17">
            <v>10</v>
          </cell>
          <cell r="V17">
            <v>0.89500000000000002</v>
          </cell>
          <cell r="W17">
            <v>0.91</v>
          </cell>
        </row>
        <row r="18">
          <cell r="A18" t="str">
            <v>System 9 - Heating and Ventilation</v>
          </cell>
          <cell r="B18">
            <v>9</v>
          </cell>
          <cell r="C18" t="str">
            <v>System 9 - Heating and Ventilation</v>
          </cell>
          <cell r="D18" t="str">
            <v>System 9 - Heating and Ventilation</v>
          </cell>
          <cell r="E18" t="str">
            <v>System 9 (District Heating) - Heating and Ventilation</v>
          </cell>
          <cell r="F18" t="str">
            <v>System 9 (District Heating) - Heating and Ventilation</v>
          </cell>
          <cell r="G18" t="str">
            <v/>
          </cell>
          <cell r="H18">
            <v>2.9999999999999997E-4</v>
          </cell>
          <cell r="I18">
            <v>0</v>
          </cell>
          <cell r="J18">
            <v>0</v>
          </cell>
          <cell r="K18">
            <v>5.3999999999999998E-5</v>
          </cell>
          <cell r="U18">
            <v>15</v>
          </cell>
          <cell r="V18">
            <v>0.91</v>
          </cell>
          <cell r="W18">
            <v>0.91</v>
          </cell>
        </row>
        <row r="19">
          <cell r="A19" t="str">
            <v>System 10 - Heating and Ventilation</v>
          </cell>
          <cell r="B19">
            <v>10</v>
          </cell>
          <cell r="C19" t="str">
            <v>System 10 - Heating and Ventilation</v>
          </cell>
          <cell r="D19" t="str">
            <v>System 10 - Heating and Ventilation</v>
          </cell>
          <cell r="E19" t="str">
            <v/>
          </cell>
          <cell r="F19" t="str">
            <v/>
          </cell>
          <cell r="G19" t="str">
            <v/>
          </cell>
          <cell r="H19">
            <v>2.9999999999999997E-4</v>
          </cell>
          <cell r="I19">
            <v>0</v>
          </cell>
          <cell r="J19">
            <v>0</v>
          </cell>
          <cell r="K19">
            <v>5.3999999999999998E-5</v>
          </cell>
          <cell r="U19">
            <v>20</v>
          </cell>
          <cell r="V19">
            <v>0.91</v>
          </cell>
          <cell r="W19">
            <v>0.92400000000000004</v>
          </cell>
        </row>
        <row r="20">
          <cell r="A20" t="str">
            <v/>
          </cell>
          <cell r="B20">
            <v>1</v>
          </cell>
          <cell r="C20" t="str">
            <v/>
          </cell>
          <cell r="D20" t="str">
            <v>System 1 - PTAC</v>
          </cell>
          <cell r="E20" t="str">
            <v>System 1 - PTAC</v>
          </cell>
          <cell r="F20" t="str">
            <v>System 1 - PTAC</v>
          </cell>
          <cell r="G20" t="str">
            <v/>
          </cell>
          <cell r="H20">
            <v>2.9999999999999997E-4</v>
          </cell>
          <cell r="I20">
            <v>0</v>
          </cell>
          <cell r="J20">
            <v>0</v>
          </cell>
          <cell r="K20">
            <v>0</v>
          </cell>
          <cell r="U20">
            <v>25</v>
          </cell>
          <cell r="V20">
            <v>0.92400000000000004</v>
          </cell>
          <cell r="W20">
            <v>0.92400000000000004</v>
          </cell>
        </row>
        <row r="21">
          <cell r="A21" t="str">
            <v/>
          </cell>
          <cell r="B21">
            <v>2</v>
          </cell>
          <cell r="C21" t="str">
            <v/>
          </cell>
          <cell r="D21" t="str">
            <v>System 2 - PTHP</v>
          </cell>
          <cell r="E21" t="str">
            <v>System 2 - PTHP</v>
          </cell>
          <cell r="F21" t="str">
            <v>System 2 - PTHP</v>
          </cell>
          <cell r="G21" t="str">
            <v/>
          </cell>
          <cell r="H21">
            <v>2.9999999999999997E-4</v>
          </cell>
          <cell r="I21">
            <v>0</v>
          </cell>
          <cell r="J21">
            <v>0</v>
          </cell>
          <cell r="K21">
            <v>0</v>
          </cell>
          <cell r="U21">
            <v>30</v>
          </cell>
          <cell r="V21">
            <v>0.92400000000000004</v>
          </cell>
          <cell r="W21">
            <v>0.93</v>
          </cell>
        </row>
        <row r="22">
          <cell r="A22" t="str">
            <v/>
          </cell>
          <cell r="B22">
            <v>3</v>
          </cell>
          <cell r="C22" t="str">
            <v/>
          </cell>
          <cell r="D22" t="str">
            <v>System 3 - PSZ-AC</v>
          </cell>
          <cell r="E22" t="str">
            <v>System 3 - PSZ-AC</v>
          </cell>
          <cell r="F22" t="str">
            <v>System 3 - PSZ-AC</v>
          </cell>
          <cell r="G22" t="str">
            <v/>
          </cell>
          <cell r="H22">
            <v>9.3999999999999997E-4</v>
          </cell>
          <cell r="I22">
            <v>1</v>
          </cell>
          <cell r="J22">
            <v>1</v>
          </cell>
          <cell r="K22">
            <v>0</v>
          </cell>
          <cell r="U22">
            <v>40</v>
          </cell>
          <cell r="V22">
            <v>0.93</v>
          </cell>
          <cell r="W22">
            <v>0.93</v>
          </cell>
        </row>
        <row r="23">
          <cell r="A23" t="str">
            <v/>
          </cell>
          <cell r="B23">
            <v>4</v>
          </cell>
          <cell r="C23" t="str">
            <v/>
          </cell>
          <cell r="D23" t="str">
            <v>System 4 - PSZ-HP</v>
          </cell>
          <cell r="E23" t="str">
            <v>System 4 - PSZ-HP</v>
          </cell>
          <cell r="F23" t="str">
            <v>System 4 - PSZ-HP</v>
          </cell>
          <cell r="G23" t="str">
            <v/>
          </cell>
          <cell r="H23">
            <v>9.3999999999999997E-4</v>
          </cell>
          <cell r="I23">
            <v>1</v>
          </cell>
          <cell r="J23">
            <v>1</v>
          </cell>
          <cell r="K23">
            <v>0</v>
          </cell>
          <cell r="U23">
            <v>50</v>
          </cell>
          <cell r="V23">
            <v>0.93</v>
          </cell>
          <cell r="W23">
            <v>0.93600000000000005</v>
          </cell>
        </row>
        <row r="24">
          <cell r="A24" t="str">
            <v/>
          </cell>
          <cell r="B24">
            <v>5</v>
          </cell>
          <cell r="C24" t="str">
            <v/>
          </cell>
          <cell r="D24" t="str">
            <v>System 5 - Packaged VAV with Reheat</v>
          </cell>
          <cell r="E24" t="str">
            <v>System 5 - Packaged VAV with Reheat</v>
          </cell>
          <cell r="F24" t="str">
            <v>System 5 - Packaged VAV with Reheat</v>
          </cell>
          <cell r="G24" t="str">
            <v/>
          </cell>
          <cell r="H24">
            <v>1.2999999999999999E-3</v>
          </cell>
          <cell r="I24">
            <v>1</v>
          </cell>
          <cell r="J24">
            <v>1</v>
          </cell>
          <cell r="K24">
            <v>0</v>
          </cell>
          <cell r="U24">
            <v>60</v>
          </cell>
          <cell r="V24">
            <v>0.93600000000000005</v>
          </cell>
          <cell r="W24">
            <v>0.94099999999999995</v>
          </cell>
        </row>
        <row r="25">
          <cell r="A25" t="str">
            <v/>
          </cell>
          <cell r="B25">
            <v>6</v>
          </cell>
          <cell r="C25" t="str">
            <v/>
          </cell>
          <cell r="D25" t="str">
            <v>System 6 - Packaged VAV with PFP Boxes</v>
          </cell>
          <cell r="E25" t="str">
            <v>System 6 - Packaged VAV with PFP Boxes</v>
          </cell>
          <cell r="F25" t="str">
            <v>System 6 - Packaged VAV with PFP Boxes</v>
          </cell>
          <cell r="G25" t="str">
            <v/>
          </cell>
          <cell r="H25">
            <v>1.2999999999999999E-3</v>
          </cell>
          <cell r="I25">
            <v>1</v>
          </cell>
          <cell r="J25">
            <v>1</v>
          </cell>
          <cell r="K25">
            <v>0</v>
          </cell>
          <cell r="U25">
            <v>75</v>
          </cell>
          <cell r="V25">
            <v>0.94099999999999995</v>
          </cell>
          <cell r="W25">
            <v>0.94499999999999995</v>
          </cell>
        </row>
        <row r="26">
          <cell r="A26" t="str">
            <v/>
          </cell>
          <cell r="B26">
            <v>7</v>
          </cell>
          <cell r="C26" t="str">
            <v/>
          </cell>
          <cell r="D26" t="str">
            <v>System 7 - VAV with Reheat</v>
          </cell>
          <cell r="E26" t="str">
            <v>System 7 - VAV with Reheat</v>
          </cell>
          <cell r="F26" t="str">
            <v>System 7 - VAV with Reheat</v>
          </cell>
          <cell r="G26" t="str">
            <v/>
          </cell>
          <cell r="H26">
            <v>1.2999999999999999E-3</v>
          </cell>
          <cell r="I26">
            <v>1</v>
          </cell>
          <cell r="J26">
            <v>1</v>
          </cell>
          <cell r="K26">
            <v>0</v>
          </cell>
          <cell r="U26">
            <v>100</v>
          </cell>
          <cell r="V26">
            <v>0.94499999999999995</v>
          </cell>
          <cell r="W26">
            <v>0.94499999999999995</v>
          </cell>
        </row>
        <row r="27">
          <cell r="A27" t="str">
            <v/>
          </cell>
          <cell r="B27">
            <v>8</v>
          </cell>
          <cell r="C27" t="str">
            <v/>
          </cell>
          <cell r="D27" t="str">
            <v>System 8 - VAV with PFP Boxes</v>
          </cell>
          <cell r="E27" t="str">
            <v>System 8 - VAV with PFP Boxes</v>
          </cell>
          <cell r="F27" t="str">
            <v>System 8 - VAV with PFP Boxes</v>
          </cell>
          <cell r="G27" t="str">
            <v/>
          </cell>
          <cell r="H27">
            <v>1.2999999999999999E-3</v>
          </cell>
          <cell r="I27">
            <v>1</v>
          </cell>
          <cell r="J27">
            <v>1</v>
          </cell>
          <cell r="K27">
            <v>0</v>
          </cell>
          <cell r="U27">
            <v>125</v>
          </cell>
          <cell r="V27">
            <v>0.94499999999999995</v>
          </cell>
          <cell r="W27">
            <v>0.95</v>
          </cell>
        </row>
        <row r="28">
          <cell r="A28" t="str">
            <v/>
          </cell>
          <cell r="B28">
            <v>9</v>
          </cell>
          <cell r="C28" t="str">
            <v/>
          </cell>
          <cell r="D28" t="str">
            <v/>
          </cell>
          <cell r="E28" t="str">
            <v>System 9 - Heating and Ventilation</v>
          </cell>
          <cell r="F28" t="str">
            <v>System 9 - Heating and Ventilation</v>
          </cell>
          <cell r="G28" t="str">
            <v/>
          </cell>
          <cell r="H28">
            <v>2.9999999999999997E-4</v>
          </cell>
          <cell r="I28">
            <v>0</v>
          </cell>
          <cell r="J28">
            <v>0</v>
          </cell>
          <cell r="K28">
            <v>5.3999999999999998E-5</v>
          </cell>
          <cell r="U28">
            <v>150</v>
          </cell>
          <cell r="V28">
            <v>0.95</v>
          </cell>
          <cell r="W28">
            <v>0.95</v>
          </cell>
        </row>
        <row r="29">
          <cell r="A29" t="str">
            <v/>
          </cell>
          <cell r="B29">
            <v>10</v>
          </cell>
          <cell r="C29" t="str">
            <v/>
          </cell>
          <cell r="D29" t="str">
            <v/>
          </cell>
          <cell r="E29" t="str">
            <v>System 10 - Heating and Ventilation</v>
          </cell>
          <cell r="F29" t="str">
            <v>System 10 - Heating and Ventilation</v>
          </cell>
          <cell r="G29" t="str">
            <v/>
          </cell>
          <cell r="H29">
            <v>2.9999999999999997E-4</v>
          </cell>
          <cell r="I29">
            <v>0</v>
          </cell>
          <cell r="J29">
            <v>0</v>
          </cell>
          <cell r="K29">
            <v>5.3999999999999998E-5</v>
          </cell>
          <cell r="U29">
            <v>200</v>
          </cell>
          <cell r="V29">
            <v>0.95</v>
          </cell>
          <cell r="W29">
            <v>0.95</v>
          </cell>
        </row>
      </sheetData>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 General HVAC"/>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paque Envelope"/>
      <sheetName val="QC Checklist"/>
      <sheetName val="Envelope Lookup"/>
      <sheetName val="Shading &amp; Fenestration"/>
      <sheetName val="Lighting"/>
      <sheetName val="Equipment"/>
      <sheetName val="Service Water Heating"/>
      <sheetName val="General HVAC"/>
      <sheetName val="Air-Side HVAC Details"/>
      <sheetName val="Water-Side HVAC Details"/>
      <sheetName val="Lighting Lookup"/>
      <sheetName val="HVAC Lookup"/>
    </sheetNames>
    <sheetDataSet>
      <sheetData sheetId="0" refreshError="1"/>
      <sheetData sheetId="1" refreshError="1"/>
      <sheetData sheetId="2" refreshError="1"/>
      <sheetData sheetId="3">
        <row r="1">
          <cell r="X1" t="str">
            <v>Nonmetal framing (all)</v>
          </cell>
        </row>
      </sheetData>
      <sheetData sheetId="4">
        <row r="37">
          <cell r="H37" t="str">
            <v>NFRC testing for site-assembled fenestration</v>
          </cell>
        </row>
      </sheetData>
      <sheetData sheetId="5">
        <row r="27">
          <cell r="B27" t="str">
            <v>Dormitory-Living Quarters</v>
          </cell>
        </row>
      </sheetData>
      <sheetData sheetId="6" refreshError="1"/>
      <sheetData sheetId="7" refreshError="1"/>
      <sheetData sheetId="8">
        <row r="20">
          <cell r="B20" t="str">
            <v>Heat Pump System</v>
          </cell>
        </row>
      </sheetData>
      <sheetData sheetId="9" refreshError="1"/>
      <sheetData sheetId="10" refreshError="1"/>
      <sheetData sheetId="11"/>
      <sheetData sheetId="12">
        <row r="9">
          <cell r="L9" t="str">
            <v>kBtu/h</v>
          </cell>
        </row>
        <row r="10">
          <cell r="A10" t="str">
            <v>System 1 - PTAC</v>
          </cell>
        </row>
        <row r="11">
          <cell r="A11" t="str">
            <v>System 2 - PTHP</v>
          </cell>
        </row>
        <row r="12">
          <cell r="A12" t="str">
            <v>System 3 - PSZ-AC</v>
          </cell>
        </row>
        <row r="13">
          <cell r="A13" t="str">
            <v>System 4 - PSZ-HP</v>
          </cell>
        </row>
        <row r="14">
          <cell r="A14" t="str">
            <v>System 5 - Packaged VAV with Reheat</v>
          </cell>
        </row>
        <row r="15">
          <cell r="A15" t="str">
            <v>System 6 - Packaged VAV with PFP Boxes</v>
          </cell>
        </row>
        <row r="16">
          <cell r="A16" t="str">
            <v>System 7 - VAV with Reheat</v>
          </cell>
        </row>
        <row r="17">
          <cell r="A17" t="str">
            <v>System 8 - VAV with PFP Boxes</v>
          </cell>
        </row>
        <row r="18">
          <cell r="A18" t="str">
            <v>System 9 - Heating and Ventilation</v>
          </cell>
        </row>
        <row r="19">
          <cell r="A19" t="str">
            <v>System 10 - Heating and Ventilation</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Lighting Zones"/>
      <sheetName val="Raw Data"/>
    </sheetNames>
    <sheetDataSet>
      <sheetData sheetId="0"/>
      <sheetData sheetId="1">
        <row r="2">
          <cell r="B2">
            <v>0</v>
          </cell>
          <cell r="C2" t="str">
            <v>Undeveloped areas within national and state parks, forest land and rural areas and other undeveloped areas as approved by the AHJ</v>
          </cell>
          <cell r="D2">
            <v>0</v>
          </cell>
        </row>
        <row r="3">
          <cell r="B3">
            <v>1</v>
          </cell>
          <cell r="C3" t="str">
            <v>National and state parks, forest land and rural areas</v>
          </cell>
          <cell r="D3">
            <v>500</v>
          </cell>
        </row>
        <row r="4">
          <cell r="B4">
            <v>2</v>
          </cell>
          <cell r="C4" t="str">
            <v>Areas primarily consisting of residential areas, neighborhood business districts and light industrial areas with limited nighttime use</v>
          </cell>
          <cell r="D4">
            <v>600</v>
          </cell>
        </row>
        <row r="5">
          <cell r="B5">
            <v>3</v>
          </cell>
          <cell r="C5" t="str">
            <v>Any area not covered by lighting zones 0, 1, 2 or 4.  Primarily urban.</v>
          </cell>
          <cell r="D5">
            <v>750</v>
          </cell>
        </row>
        <row r="6">
          <cell r="B6">
            <v>4</v>
          </cell>
          <cell r="C6" t="str">
            <v>Commercial districts in major metropolitan areas with very high activity.  Must be designated so by the local jurisdiction.</v>
          </cell>
          <cell r="D6">
            <v>1300</v>
          </cell>
        </row>
        <row r="11">
          <cell r="B11" t="str">
            <v>YES</v>
          </cell>
        </row>
        <row r="12">
          <cell r="B12" t="str">
            <v>NO</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G LPD"/>
      <sheetName val="SCA Instructions"/>
      <sheetName val="GSG Avg Rotations"/>
      <sheetName val="SCA Exec Summary"/>
      <sheetName val="SCA ECM Summary"/>
      <sheetName val="SCA Usage Summary"/>
      <sheetName val="SCA Window Summary"/>
      <sheetName val="SCA Wall Summary"/>
      <sheetName val="SCA Wall Summary (2)"/>
      <sheetName val="SCA Interior Lighting Summary"/>
      <sheetName val="SCA Ext LPD Process Equ"/>
      <sheetName val="SCA Ext LPD Calculator"/>
      <sheetName val="GSG Ext LPD"/>
      <sheetName val="SCA Service HW"/>
      <sheetName val="SCA HVAC Air Class"/>
      <sheetName val="SCA HW Summary"/>
      <sheetName val="SCA CHW Summary"/>
      <sheetName val="General Checklist"/>
      <sheetName val="Output Checklist"/>
      <sheetName val="GSG_List"/>
      <sheetName val="Color legend"/>
      <sheetName val="Schedules - Assembly"/>
      <sheetName val="Schedules - Office"/>
      <sheetName val="Schedules - Retail"/>
      <sheetName val="Schedules - Dwelling Unit"/>
      <sheetName val="Version Control"/>
      <sheetName val="1,2,3 Information"/>
      <sheetName val="3d. LL97 GHG Summary"/>
      <sheetName val="4. Compliance"/>
      <sheetName val="5a. Baseline Rotations"/>
      <sheetName val="5b. Usage Summary"/>
      <sheetName val="5a. Description of Project"/>
      <sheetName val="6a. Ext. Wall Areas"/>
      <sheetName val="6b. Fenestration"/>
      <sheetName val="6c1. Wall Types"/>
      <sheetName val="6c2. Wall Types - Add'l Rows"/>
      <sheetName val="6d.1 Interior LPD-Space Method"/>
      <sheetName val="6d.2 Interior LPD-Bldg  Method"/>
      <sheetName val="6e. Ext LPD"/>
      <sheetName val="6f. Process Equip."/>
      <sheetName val="6g. Service HW"/>
      <sheetName val="Instructions for HVAC_Cover"/>
      <sheetName val="HVAC_Cover"/>
      <sheetName val="Lists"/>
      <sheetName val="HVAC Air-side"/>
      <sheetName val="6j. HVAC Water-side CHW  "/>
      <sheetName val="6k. HVAC Water-side CW&amp;CT"/>
      <sheetName val="6l. HVAC Water-side HW&amp;Steam"/>
      <sheetName val="6m. HVAC- Geothermal"/>
      <sheetName val="6n. CHP"/>
      <sheetName val="Lists-Areas"/>
      <sheetName val="Lighting Lookup"/>
      <sheetName val="Lighting Zones"/>
      <sheetName val="Lighting Zones GSG"/>
      <sheetName val="Raw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A5" t="str">
            <v>Nonmetal framing (all)</v>
          </cell>
        </row>
        <row r="6">
          <cell r="A6" t="str">
            <v>Metal framing (Curtainwall/Storefront)</v>
          </cell>
        </row>
        <row r="7">
          <cell r="A7" t="str">
            <v>Metal framing (all other)</v>
          </cell>
        </row>
        <row r="8">
          <cell r="A8" t="str">
            <v>Metal framing (entrance door)</v>
          </cell>
        </row>
        <row r="25">
          <cell r="A25" t="str">
            <v>Insulation Entirely Above Deck</v>
          </cell>
        </row>
        <row r="27">
          <cell r="A27" t="str">
            <v>Steel-Framed</v>
          </cell>
        </row>
        <row r="31">
          <cell r="A31" t="str">
            <v>Mass</v>
          </cell>
        </row>
        <row r="32">
          <cell r="A32" t="str">
            <v>Steel-Joist</v>
          </cell>
        </row>
        <row r="33">
          <cell r="A33" t="str">
            <v>Wood-Framed and Other</v>
          </cell>
        </row>
        <row r="35">
          <cell r="A35" t="str">
            <v>Unheated</v>
          </cell>
        </row>
        <row r="36">
          <cell r="A36" t="str">
            <v>Heated</v>
          </cell>
        </row>
        <row r="38">
          <cell r="A38" t="str">
            <v>Swinging</v>
          </cell>
        </row>
        <row r="39">
          <cell r="A39" t="str">
            <v>Nonswinging</v>
          </cell>
        </row>
      </sheetData>
      <sheetData sheetId="20"/>
      <sheetData sheetId="21"/>
      <sheetData sheetId="22"/>
      <sheetData sheetId="23"/>
      <sheetData sheetId="24"/>
      <sheetData sheetId="25"/>
      <sheetData sheetId="26"/>
      <sheetData sheetId="27"/>
      <sheetData sheetId="28">
        <row r="4">
          <cell r="B4" t="str">
            <v>Section 11 ECB</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
          <cell r="N1" t="str">
            <v>Yes</v>
          </cell>
        </row>
        <row r="2">
          <cell r="N2" t="str">
            <v>No</v>
          </cell>
        </row>
        <row r="61">
          <cell r="R61" t="str">
            <v>&lt;17,000</v>
          </cell>
        </row>
        <row r="62">
          <cell r="R62" t="str">
            <v>&gt;=17,000 and &lt;65,000</v>
          </cell>
        </row>
        <row r="63">
          <cell r="R63" t="str">
            <v>&gt;=65,000 and &lt;135,000</v>
          </cell>
        </row>
        <row r="64">
          <cell r="R64" t="str">
            <v>&gt;=135,000 and &lt;240,000</v>
          </cell>
        </row>
        <row r="65">
          <cell r="R65" t="str">
            <v>&gt;= 240,000 and &lt;760,000</v>
          </cell>
        </row>
      </sheetData>
      <sheetData sheetId="44"/>
      <sheetData sheetId="45"/>
      <sheetData sheetId="46"/>
      <sheetData sheetId="47"/>
      <sheetData sheetId="48"/>
      <sheetData sheetId="49"/>
      <sheetData sheetId="50"/>
      <sheetData sheetId="51">
        <row r="2">
          <cell r="I2" t="str">
            <v>None</v>
          </cell>
        </row>
        <row r="3">
          <cell r="I3" t="str">
            <v>Decorative</v>
          </cell>
        </row>
        <row r="4">
          <cell r="I4" t="str">
            <v>Retail Display</v>
          </cell>
        </row>
        <row r="5">
          <cell r="I5" t="str">
            <v>Room Cavity Ratio</v>
          </cell>
        </row>
        <row r="6">
          <cell r="I6" t="str">
            <v>Control Allowance</v>
          </cell>
        </row>
      </sheetData>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F5AD5EE-7616-4BE4-99FE-24160A40A1DD}">
  <we:reference id="wa104380955" version="2.2.1.0" store="en-US" storeType="OMEX"/>
  <we:alternateReferences>
    <we:reference id="WA104380955" version="2.2.1.0" store="WA104380955"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P30"/>
  <sheetViews>
    <sheetView workbookViewId="0">
      <selection activeCell="J31" sqref="J31"/>
    </sheetView>
  </sheetViews>
  <sheetFormatPr defaultRowHeight="15" x14ac:dyDescent="0.25"/>
  <cols>
    <col min="1" max="1" width="12.7109375" customWidth="1"/>
    <col min="7" max="7" width="9.7109375" customWidth="1"/>
  </cols>
  <sheetData>
    <row r="1" spans="1:16" x14ac:dyDescent="0.25">
      <c r="A1" s="338" t="s">
        <v>619</v>
      </c>
      <c r="B1" s="332" t="s">
        <v>620</v>
      </c>
      <c r="C1" s="332"/>
      <c r="D1" s="332"/>
      <c r="E1" s="332" t="s">
        <v>625</v>
      </c>
      <c r="F1" s="332"/>
      <c r="G1" s="332"/>
      <c r="H1" s="333" t="s">
        <v>626</v>
      </c>
      <c r="I1" s="333"/>
      <c r="J1" s="333"/>
      <c r="K1" s="332" t="s">
        <v>627</v>
      </c>
      <c r="L1" s="332"/>
      <c r="M1" s="332"/>
      <c r="N1" s="332" t="s">
        <v>628</v>
      </c>
      <c r="O1" s="332"/>
      <c r="P1" s="332"/>
    </row>
    <row r="2" spans="1:16" x14ac:dyDescent="0.25">
      <c r="A2" s="338"/>
      <c r="B2" s="332" t="s">
        <v>621</v>
      </c>
      <c r="C2" s="332"/>
      <c r="D2" s="332"/>
      <c r="E2" s="332" t="s">
        <v>621</v>
      </c>
      <c r="F2" s="332"/>
      <c r="G2" s="332"/>
      <c r="H2" s="333"/>
      <c r="I2" s="333"/>
      <c r="J2" s="333"/>
      <c r="K2" s="332" t="s">
        <v>621</v>
      </c>
      <c r="L2" s="332"/>
      <c r="M2" s="332"/>
      <c r="N2" s="332" t="s">
        <v>621</v>
      </c>
      <c r="O2" s="332"/>
      <c r="P2" s="332"/>
    </row>
    <row r="3" spans="1:16" x14ac:dyDescent="0.25">
      <c r="A3" s="338"/>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0</v>
      </c>
      <c r="L4">
        <v>0</v>
      </c>
      <c r="M4">
        <v>0</v>
      </c>
      <c r="N4">
        <v>0</v>
      </c>
      <c r="O4">
        <v>0</v>
      </c>
      <c r="P4">
        <v>0</v>
      </c>
    </row>
    <row r="5" spans="1:16" x14ac:dyDescent="0.25">
      <c r="A5" t="s">
        <v>630</v>
      </c>
      <c r="B5">
        <v>0</v>
      </c>
      <c r="C5">
        <v>0</v>
      </c>
      <c r="D5">
        <v>0</v>
      </c>
      <c r="E5">
        <v>5</v>
      </c>
      <c r="F5">
        <v>5</v>
      </c>
      <c r="G5">
        <v>5</v>
      </c>
      <c r="H5" t="s">
        <v>657</v>
      </c>
      <c r="I5" t="s">
        <v>657</v>
      </c>
      <c r="J5" t="s">
        <v>657</v>
      </c>
      <c r="K5">
        <v>0</v>
      </c>
      <c r="L5">
        <v>0</v>
      </c>
      <c r="M5">
        <v>0</v>
      </c>
      <c r="N5">
        <v>0</v>
      </c>
      <c r="O5">
        <v>0</v>
      </c>
      <c r="P5">
        <v>0</v>
      </c>
    </row>
    <row r="6" spans="1:16" x14ac:dyDescent="0.25">
      <c r="A6" t="s">
        <v>631</v>
      </c>
      <c r="B6">
        <v>0</v>
      </c>
      <c r="C6">
        <v>0</v>
      </c>
      <c r="D6">
        <v>0</v>
      </c>
      <c r="E6">
        <v>5</v>
      </c>
      <c r="F6">
        <v>5</v>
      </c>
      <c r="G6">
        <v>5</v>
      </c>
      <c r="H6" t="s">
        <v>657</v>
      </c>
      <c r="I6" t="s">
        <v>657</v>
      </c>
      <c r="J6" t="s">
        <v>657</v>
      </c>
      <c r="K6">
        <v>0</v>
      </c>
      <c r="L6">
        <v>0</v>
      </c>
      <c r="M6">
        <v>0</v>
      </c>
      <c r="N6">
        <v>0</v>
      </c>
      <c r="O6">
        <v>0</v>
      </c>
      <c r="P6">
        <v>0</v>
      </c>
    </row>
    <row r="7" spans="1:16" x14ac:dyDescent="0.25">
      <c r="A7" t="s">
        <v>632</v>
      </c>
      <c r="B7">
        <v>0</v>
      </c>
      <c r="C7">
        <v>0</v>
      </c>
      <c r="D7">
        <v>0</v>
      </c>
      <c r="E7">
        <v>5</v>
      </c>
      <c r="F7">
        <v>5</v>
      </c>
      <c r="G7">
        <v>5</v>
      </c>
      <c r="H7" t="s">
        <v>657</v>
      </c>
      <c r="I7" t="s">
        <v>657</v>
      </c>
      <c r="J7" t="s">
        <v>657</v>
      </c>
      <c r="K7">
        <v>0</v>
      </c>
      <c r="L7">
        <v>0</v>
      </c>
      <c r="M7">
        <v>0</v>
      </c>
      <c r="N7">
        <v>0</v>
      </c>
      <c r="O7">
        <v>0</v>
      </c>
      <c r="P7">
        <v>0</v>
      </c>
    </row>
    <row r="8" spans="1:16" x14ac:dyDescent="0.25">
      <c r="A8" t="s">
        <v>633</v>
      </c>
      <c r="B8">
        <v>0</v>
      </c>
      <c r="C8">
        <v>0</v>
      </c>
      <c r="D8">
        <v>0</v>
      </c>
      <c r="E8">
        <v>5</v>
      </c>
      <c r="F8">
        <v>5</v>
      </c>
      <c r="G8">
        <v>5</v>
      </c>
      <c r="H8" t="s">
        <v>657</v>
      </c>
      <c r="I8" t="s">
        <v>657</v>
      </c>
      <c r="J8" t="s">
        <v>657</v>
      </c>
      <c r="K8">
        <v>0</v>
      </c>
      <c r="L8">
        <v>0</v>
      </c>
      <c r="M8">
        <v>0</v>
      </c>
      <c r="N8">
        <v>0</v>
      </c>
      <c r="O8">
        <v>0</v>
      </c>
      <c r="P8">
        <v>0</v>
      </c>
    </row>
    <row r="9" spans="1:16" x14ac:dyDescent="0.25">
      <c r="A9" t="s">
        <v>634</v>
      </c>
      <c r="B9">
        <v>0</v>
      </c>
      <c r="C9">
        <v>0</v>
      </c>
      <c r="D9">
        <v>0</v>
      </c>
      <c r="E9">
        <v>5</v>
      </c>
      <c r="F9">
        <v>5</v>
      </c>
      <c r="G9">
        <v>5</v>
      </c>
      <c r="H9" t="s">
        <v>658</v>
      </c>
      <c r="I9" t="s">
        <v>657</v>
      </c>
      <c r="J9" t="s">
        <v>657</v>
      </c>
      <c r="K9">
        <v>0</v>
      </c>
      <c r="L9">
        <v>0</v>
      </c>
      <c r="M9">
        <v>0</v>
      </c>
      <c r="N9">
        <v>0</v>
      </c>
      <c r="O9">
        <v>0</v>
      </c>
      <c r="P9">
        <v>0</v>
      </c>
    </row>
    <row r="10" spans="1:16" x14ac:dyDescent="0.25">
      <c r="A10" t="s">
        <v>635</v>
      </c>
      <c r="B10">
        <v>0</v>
      </c>
      <c r="C10">
        <v>0</v>
      </c>
      <c r="D10">
        <v>0</v>
      </c>
      <c r="E10" t="s">
        <v>653</v>
      </c>
      <c r="F10">
        <v>5</v>
      </c>
      <c r="G10">
        <v>5</v>
      </c>
      <c r="H10" t="s">
        <v>658</v>
      </c>
      <c r="I10" t="s">
        <v>658</v>
      </c>
      <c r="J10" t="s">
        <v>658</v>
      </c>
      <c r="K10">
        <v>0</v>
      </c>
      <c r="L10">
        <v>0</v>
      </c>
      <c r="M10">
        <v>0</v>
      </c>
      <c r="N10">
        <v>0</v>
      </c>
      <c r="O10">
        <v>0</v>
      </c>
      <c r="P10">
        <v>0</v>
      </c>
    </row>
    <row r="11" spans="1:16" x14ac:dyDescent="0.25">
      <c r="A11" t="s">
        <v>636</v>
      </c>
      <c r="B11">
        <v>0</v>
      </c>
      <c r="C11">
        <v>0</v>
      </c>
      <c r="D11">
        <v>0</v>
      </c>
      <c r="E11" t="s">
        <v>653</v>
      </c>
      <c r="F11">
        <v>30</v>
      </c>
      <c r="G11">
        <v>30</v>
      </c>
      <c r="H11" t="s">
        <v>658</v>
      </c>
      <c r="I11" t="s">
        <v>658</v>
      </c>
      <c r="J11" t="s">
        <v>658</v>
      </c>
      <c r="K11">
        <v>0</v>
      </c>
      <c r="L11">
        <v>0</v>
      </c>
      <c r="M11">
        <v>0</v>
      </c>
      <c r="N11">
        <v>0</v>
      </c>
      <c r="O11">
        <v>0</v>
      </c>
      <c r="P11">
        <v>0</v>
      </c>
    </row>
    <row r="12" spans="1:16" x14ac:dyDescent="0.25">
      <c r="A12" t="s">
        <v>637</v>
      </c>
      <c r="B12">
        <v>20</v>
      </c>
      <c r="C12">
        <v>20</v>
      </c>
      <c r="D12">
        <v>10</v>
      </c>
      <c r="E12" t="s">
        <v>653</v>
      </c>
      <c r="F12">
        <v>30</v>
      </c>
      <c r="G12">
        <v>30</v>
      </c>
      <c r="H12" t="s">
        <v>658</v>
      </c>
      <c r="I12" t="s">
        <v>658</v>
      </c>
      <c r="J12" t="s">
        <v>658</v>
      </c>
      <c r="K12">
        <v>0</v>
      </c>
      <c r="L12">
        <v>0</v>
      </c>
      <c r="M12">
        <v>0</v>
      </c>
      <c r="N12">
        <v>0</v>
      </c>
      <c r="O12">
        <v>0</v>
      </c>
      <c r="P12">
        <v>0</v>
      </c>
    </row>
    <row r="13" spans="1:16" x14ac:dyDescent="0.25">
      <c r="A13" t="s">
        <v>638</v>
      </c>
      <c r="B13">
        <v>20</v>
      </c>
      <c r="C13">
        <v>20</v>
      </c>
      <c r="D13">
        <v>10</v>
      </c>
      <c r="E13" t="s">
        <v>654</v>
      </c>
      <c r="F13" t="s">
        <v>655</v>
      </c>
      <c r="G13">
        <v>30</v>
      </c>
      <c r="H13" t="s">
        <v>658</v>
      </c>
      <c r="I13" t="s">
        <v>658</v>
      </c>
      <c r="J13" t="s">
        <v>658</v>
      </c>
      <c r="K13">
        <v>5</v>
      </c>
      <c r="L13">
        <v>5</v>
      </c>
      <c r="M13">
        <v>5</v>
      </c>
      <c r="N13">
        <v>0</v>
      </c>
      <c r="O13">
        <v>0</v>
      </c>
      <c r="P13">
        <v>0</v>
      </c>
    </row>
    <row r="14" spans="1:16" x14ac:dyDescent="0.25">
      <c r="A14" t="s">
        <v>639</v>
      </c>
      <c r="B14">
        <v>20</v>
      </c>
      <c r="C14">
        <v>20</v>
      </c>
      <c r="D14">
        <v>10</v>
      </c>
      <c r="E14" t="s">
        <v>654</v>
      </c>
      <c r="F14" t="s">
        <v>655</v>
      </c>
      <c r="G14">
        <v>30</v>
      </c>
      <c r="H14" t="s">
        <v>658</v>
      </c>
      <c r="I14" t="s">
        <v>658</v>
      </c>
      <c r="J14" t="s">
        <v>658</v>
      </c>
      <c r="K14">
        <v>5</v>
      </c>
      <c r="L14">
        <v>5</v>
      </c>
      <c r="M14">
        <v>5</v>
      </c>
      <c r="N14">
        <v>0</v>
      </c>
      <c r="O14">
        <v>0</v>
      </c>
      <c r="P14">
        <v>0</v>
      </c>
    </row>
    <row r="15" spans="1:16" x14ac:dyDescent="0.25">
      <c r="A15" t="s">
        <v>640</v>
      </c>
      <c r="B15">
        <v>80</v>
      </c>
      <c r="C15">
        <v>60</v>
      </c>
      <c r="D15">
        <v>10</v>
      </c>
      <c r="E15" t="s">
        <v>654</v>
      </c>
      <c r="F15" t="s">
        <v>655</v>
      </c>
      <c r="G15">
        <v>30</v>
      </c>
      <c r="H15" t="s">
        <v>658</v>
      </c>
      <c r="I15" t="s">
        <v>658</v>
      </c>
      <c r="J15" t="s">
        <v>658</v>
      </c>
      <c r="K15">
        <v>35</v>
      </c>
      <c r="L15">
        <v>20</v>
      </c>
      <c r="M15">
        <v>10</v>
      </c>
      <c r="N15">
        <v>0</v>
      </c>
      <c r="O15">
        <v>0</v>
      </c>
      <c r="P15">
        <v>0</v>
      </c>
    </row>
    <row r="16" spans="1:16" x14ac:dyDescent="0.25">
      <c r="A16" t="s">
        <v>641</v>
      </c>
      <c r="B16">
        <v>80</v>
      </c>
      <c r="C16">
        <v>60</v>
      </c>
      <c r="D16">
        <v>10</v>
      </c>
      <c r="E16" t="s">
        <v>654</v>
      </c>
      <c r="F16" t="s">
        <v>655</v>
      </c>
      <c r="G16" t="s">
        <v>656</v>
      </c>
      <c r="H16" t="s">
        <v>658</v>
      </c>
      <c r="I16" t="s">
        <v>658</v>
      </c>
      <c r="J16" t="s">
        <v>658</v>
      </c>
      <c r="K16">
        <v>5</v>
      </c>
      <c r="L16">
        <v>0</v>
      </c>
      <c r="M16">
        <v>0</v>
      </c>
      <c r="N16">
        <v>0</v>
      </c>
      <c r="O16">
        <v>0</v>
      </c>
      <c r="P16">
        <v>0</v>
      </c>
    </row>
    <row r="17" spans="1:16" x14ac:dyDescent="0.25">
      <c r="A17" t="s">
        <v>642</v>
      </c>
      <c r="B17">
        <v>80</v>
      </c>
      <c r="C17">
        <v>60</v>
      </c>
      <c r="D17">
        <v>70</v>
      </c>
      <c r="E17" t="s">
        <v>654</v>
      </c>
      <c r="F17" t="s">
        <v>655</v>
      </c>
      <c r="G17" t="s">
        <v>656</v>
      </c>
      <c r="H17" t="s">
        <v>658</v>
      </c>
      <c r="I17" t="s">
        <v>658</v>
      </c>
      <c r="J17" t="s">
        <v>658</v>
      </c>
      <c r="K17">
        <v>5</v>
      </c>
      <c r="L17">
        <v>0</v>
      </c>
      <c r="M17">
        <v>0</v>
      </c>
      <c r="N17">
        <v>0</v>
      </c>
      <c r="O17">
        <v>0</v>
      </c>
      <c r="P17">
        <v>0</v>
      </c>
    </row>
    <row r="18" spans="1:16" x14ac:dyDescent="0.25">
      <c r="A18" t="s">
        <v>643</v>
      </c>
      <c r="B18">
        <v>80</v>
      </c>
      <c r="C18">
        <v>60</v>
      </c>
      <c r="D18">
        <v>70</v>
      </c>
      <c r="E18" t="s">
        <v>654</v>
      </c>
      <c r="F18" t="s">
        <v>655</v>
      </c>
      <c r="G18" t="s">
        <v>656</v>
      </c>
      <c r="H18" t="s">
        <v>658</v>
      </c>
      <c r="I18" t="s">
        <v>658</v>
      </c>
      <c r="J18" t="s">
        <v>658</v>
      </c>
      <c r="K18">
        <v>5</v>
      </c>
      <c r="L18">
        <v>0</v>
      </c>
      <c r="M18">
        <v>0</v>
      </c>
      <c r="N18">
        <v>0</v>
      </c>
      <c r="O18">
        <v>0</v>
      </c>
      <c r="P18">
        <v>0</v>
      </c>
    </row>
    <row r="19" spans="1:16" x14ac:dyDescent="0.25">
      <c r="A19" t="s">
        <v>644</v>
      </c>
      <c r="B19">
        <v>80</v>
      </c>
      <c r="C19">
        <v>60</v>
      </c>
      <c r="D19">
        <v>70</v>
      </c>
      <c r="E19" t="s">
        <v>654</v>
      </c>
      <c r="F19" t="s">
        <v>655</v>
      </c>
      <c r="G19" t="s">
        <v>656</v>
      </c>
      <c r="H19" t="s">
        <v>658</v>
      </c>
      <c r="I19" t="s">
        <v>658</v>
      </c>
      <c r="J19" t="s">
        <v>658</v>
      </c>
      <c r="K19">
        <v>5</v>
      </c>
      <c r="L19">
        <v>0</v>
      </c>
      <c r="M19">
        <v>0</v>
      </c>
      <c r="N19">
        <v>0</v>
      </c>
      <c r="O19">
        <v>0</v>
      </c>
      <c r="P19">
        <v>0</v>
      </c>
    </row>
    <row r="20" spans="1:16" x14ac:dyDescent="0.25">
      <c r="A20" t="s">
        <v>645</v>
      </c>
      <c r="B20">
        <v>80</v>
      </c>
      <c r="C20">
        <v>60</v>
      </c>
      <c r="D20">
        <v>70</v>
      </c>
      <c r="E20" t="s">
        <v>654</v>
      </c>
      <c r="F20" t="s">
        <v>655</v>
      </c>
      <c r="G20" t="s">
        <v>656</v>
      </c>
      <c r="H20" t="s">
        <v>658</v>
      </c>
      <c r="I20" t="s">
        <v>658</v>
      </c>
      <c r="J20" t="s">
        <v>658</v>
      </c>
      <c r="K20">
        <v>5</v>
      </c>
      <c r="L20">
        <v>0</v>
      </c>
      <c r="M20">
        <v>0</v>
      </c>
      <c r="N20">
        <v>0</v>
      </c>
      <c r="O20">
        <v>0</v>
      </c>
      <c r="P20">
        <v>0</v>
      </c>
    </row>
    <row r="21" spans="1:16" x14ac:dyDescent="0.25">
      <c r="A21" t="s">
        <v>646</v>
      </c>
      <c r="B21">
        <v>80</v>
      </c>
      <c r="C21">
        <v>60</v>
      </c>
      <c r="D21">
        <v>70</v>
      </c>
      <c r="E21" t="s">
        <v>654</v>
      </c>
      <c r="F21" t="s">
        <v>655</v>
      </c>
      <c r="G21" t="s">
        <v>656</v>
      </c>
      <c r="H21" t="s">
        <v>658</v>
      </c>
      <c r="I21" t="s">
        <v>658</v>
      </c>
      <c r="J21" t="s">
        <v>658</v>
      </c>
      <c r="K21">
        <v>0</v>
      </c>
      <c r="L21">
        <v>0</v>
      </c>
      <c r="M21">
        <v>0</v>
      </c>
      <c r="N21">
        <v>0</v>
      </c>
      <c r="O21">
        <v>0</v>
      </c>
      <c r="P21">
        <v>0</v>
      </c>
    </row>
    <row r="22" spans="1:16" x14ac:dyDescent="0.25">
      <c r="A22" t="s">
        <v>647</v>
      </c>
      <c r="B22">
        <v>20</v>
      </c>
      <c r="C22">
        <v>60</v>
      </c>
      <c r="D22">
        <v>70</v>
      </c>
      <c r="E22" t="s">
        <v>654</v>
      </c>
      <c r="F22" t="s">
        <v>655</v>
      </c>
      <c r="G22" t="s">
        <v>656</v>
      </c>
      <c r="H22" t="s">
        <v>658</v>
      </c>
      <c r="I22" t="s">
        <v>658</v>
      </c>
      <c r="J22" t="s">
        <v>658</v>
      </c>
      <c r="K22">
        <v>0</v>
      </c>
      <c r="L22">
        <v>0</v>
      </c>
      <c r="M22">
        <v>0</v>
      </c>
      <c r="N22">
        <v>0</v>
      </c>
      <c r="O22">
        <v>0</v>
      </c>
      <c r="P22">
        <v>0</v>
      </c>
    </row>
    <row r="23" spans="1:16" x14ac:dyDescent="0.25">
      <c r="A23" t="s">
        <v>648</v>
      </c>
      <c r="B23">
        <v>20</v>
      </c>
      <c r="C23">
        <v>60</v>
      </c>
      <c r="D23">
        <v>70</v>
      </c>
      <c r="E23" t="s">
        <v>654</v>
      </c>
      <c r="F23" t="s">
        <v>655</v>
      </c>
      <c r="G23" t="s">
        <v>656</v>
      </c>
      <c r="H23" t="s">
        <v>658</v>
      </c>
      <c r="I23" t="s">
        <v>658</v>
      </c>
      <c r="J23" t="s">
        <v>658</v>
      </c>
      <c r="K23">
        <v>0</v>
      </c>
      <c r="L23">
        <v>65</v>
      </c>
      <c r="M23">
        <v>65</v>
      </c>
      <c r="N23">
        <v>0</v>
      </c>
      <c r="O23">
        <v>0</v>
      </c>
      <c r="P23">
        <v>0</v>
      </c>
    </row>
    <row r="24" spans="1:16" x14ac:dyDescent="0.25">
      <c r="A24" t="s">
        <v>649</v>
      </c>
      <c r="B24">
        <v>20</v>
      </c>
      <c r="C24">
        <v>60</v>
      </c>
      <c r="D24">
        <v>70</v>
      </c>
      <c r="E24" t="s">
        <v>654</v>
      </c>
      <c r="F24" t="s">
        <v>655</v>
      </c>
      <c r="G24" t="s">
        <v>656</v>
      </c>
      <c r="H24" t="s">
        <v>658</v>
      </c>
      <c r="I24" t="s">
        <v>658</v>
      </c>
      <c r="J24" t="s">
        <v>658</v>
      </c>
      <c r="K24">
        <v>0</v>
      </c>
      <c r="L24">
        <v>30</v>
      </c>
      <c r="M24">
        <v>30</v>
      </c>
      <c r="N24">
        <v>0</v>
      </c>
      <c r="O24">
        <v>0</v>
      </c>
      <c r="P24">
        <v>0</v>
      </c>
    </row>
    <row r="25" spans="1:16" x14ac:dyDescent="0.25">
      <c r="A25" t="s">
        <v>650</v>
      </c>
      <c r="B25">
        <v>20</v>
      </c>
      <c r="C25">
        <v>80</v>
      </c>
      <c r="D25">
        <v>70</v>
      </c>
      <c r="E25" t="s">
        <v>654</v>
      </c>
      <c r="F25" t="s">
        <v>655</v>
      </c>
      <c r="G25" t="s">
        <v>656</v>
      </c>
      <c r="H25" t="s">
        <v>658</v>
      </c>
      <c r="I25" t="s">
        <v>658</v>
      </c>
      <c r="J25" t="s">
        <v>658</v>
      </c>
      <c r="K25">
        <v>0</v>
      </c>
      <c r="L25">
        <v>0</v>
      </c>
      <c r="M25">
        <v>0</v>
      </c>
      <c r="N25">
        <v>0</v>
      </c>
      <c r="O25">
        <v>0</v>
      </c>
      <c r="P25">
        <v>0</v>
      </c>
    </row>
    <row r="26" spans="1:16" x14ac:dyDescent="0.25">
      <c r="A26" t="s">
        <v>651</v>
      </c>
      <c r="B26">
        <v>10</v>
      </c>
      <c r="C26">
        <v>10</v>
      </c>
      <c r="D26">
        <v>20</v>
      </c>
      <c r="E26">
        <v>25</v>
      </c>
      <c r="F26" t="s">
        <v>655</v>
      </c>
      <c r="G26" t="s">
        <v>656</v>
      </c>
      <c r="H26" t="s">
        <v>658</v>
      </c>
      <c r="I26" t="s">
        <v>658</v>
      </c>
      <c r="J26" t="s">
        <v>658</v>
      </c>
      <c r="K26">
        <v>0</v>
      </c>
      <c r="L26">
        <v>0</v>
      </c>
      <c r="M26">
        <v>0</v>
      </c>
      <c r="N26">
        <v>0</v>
      </c>
      <c r="O26">
        <v>0</v>
      </c>
      <c r="P26">
        <v>0</v>
      </c>
    </row>
    <row r="27" spans="1:16" x14ac:dyDescent="0.25">
      <c r="A27" t="s">
        <v>652</v>
      </c>
      <c r="B27">
        <v>0</v>
      </c>
      <c r="C27">
        <v>0</v>
      </c>
      <c r="D27">
        <v>0</v>
      </c>
      <c r="E27">
        <v>5</v>
      </c>
      <c r="F27">
        <v>5</v>
      </c>
      <c r="G27">
        <v>5</v>
      </c>
      <c r="H27" t="s">
        <v>657</v>
      </c>
      <c r="I27" t="s">
        <v>657</v>
      </c>
      <c r="J27" t="s">
        <v>657</v>
      </c>
      <c r="K27">
        <v>0</v>
      </c>
      <c r="L27">
        <v>0</v>
      </c>
      <c r="M27">
        <v>0</v>
      </c>
      <c r="N27">
        <v>0</v>
      </c>
      <c r="O27">
        <v>0</v>
      </c>
      <c r="P27">
        <v>0</v>
      </c>
    </row>
    <row r="28" spans="1:16" x14ac:dyDescent="0.25">
      <c r="A28" t="s">
        <v>659</v>
      </c>
      <c r="B28">
        <f>SUM(B4:B27)</f>
        <v>710</v>
      </c>
      <c r="C28">
        <f t="shared" ref="C28:P28" si="0">SUM(C4:C27)</f>
        <v>750</v>
      </c>
      <c r="D28">
        <f t="shared" si="0"/>
        <v>700</v>
      </c>
      <c r="E28" t="s">
        <v>662</v>
      </c>
      <c r="F28" t="s">
        <v>663</v>
      </c>
      <c r="G28" t="s">
        <v>664</v>
      </c>
      <c r="H28">
        <v>1800</v>
      </c>
      <c r="I28">
        <v>1700</v>
      </c>
      <c r="J28">
        <v>1700</v>
      </c>
      <c r="K28">
        <f t="shared" si="0"/>
        <v>70</v>
      </c>
      <c r="L28">
        <f t="shared" si="0"/>
        <v>125</v>
      </c>
      <c r="M28">
        <f t="shared" si="0"/>
        <v>115</v>
      </c>
      <c r="N28">
        <f t="shared" si="0"/>
        <v>0</v>
      </c>
      <c r="O28">
        <f t="shared" si="0"/>
        <v>0</v>
      </c>
      <c r="P28">
        <f t="shared" si="0"/>
        <v>0</v>
      </c>
    </row>
    <row r="29" spans="1:16" x14ac:dyDescent="0.25">
      <c r="A29" t="s">
        <v>660</v>
      </c>
      <c r="B29" s="334">
        <f>((B28/100)*5+C28/100+D28/100)</f>
        <v>50</v>
      </c>
      <c r="C29" s="334"/>
      <c r="D29" s="334"/>
      <c r="E29" s="336" t="s">
        <v>671</v>
      </c>
      <c r="F29" s="334"/>
      <c r="G29" s="334"/>
      <c r="H29" s="334">
        <f t="shared" ref="H29" si="1">((H28/100)*5+I28/100+J28/100)</f>
        <v>124</v>
      </c>
      <c r="I29" s="334"/>
      <c r="J29" s="334"/>
      <c r="K29" s="334">
        <f t="shared" ref="K29" si="2">((K28/100)*5+L28/100+M28/100)</f>
        <v>5.9</v>
      </c>
      <c r="L29" s="334"/>
      <c r="M29" s="334"/>
      <c r="N29" s="334">
        <f t="shared" ref="N29" si="3">((N28/100)*5+O28/100+P28/100)</f>
        <v>0</v>
      </c>
      <c r="O29" s="334"/>
      <c r="P29" s="334"/>
    </row>
    <row r="30" spans="1:16" x14ac:dyDescent="0.25">
      <c r="A30" t="s">
        <v>661</v>
      </c>
      <c r="B30" s="335">
        <f>B29*52.14</f>
        <v>2607</v>
      </c>
      <c r="C30" s="335"/>
      <c r="D30" s="335"/>
      <c r="E30" s="337" t="s">
        <v>672</v>
      </c>
      <c r="F30" s="335"/>
      <c r="G30" s="335"/>
      <c r="H30" s="335">
        <f t="shared" ref="H30" si="4">H29*52.14</f>
        <v>6465.36</v>
      </c>
      <c r="I30" s="335"/>
      <c r="J30" s="335"/>
      <c r="K30" s="335">
        <f t="shared" ref="K30" si="5">K29*52.14</f>
        <v>307.62600000000003</v>
      </c>
      <c r="L30" s="335"/>
      <c r="M30" s="335"/>
      <c r="N30" s="335">
        <f t="shared" ref="N30" si="6">N29*52.14</f>
        <v>0</v>
      </c>
      <c r="O30" s="335"/>
      <c r="P30" s="335"/>
    </row>
  </sheetData>
  <mergeCells count="20">
    <mergeCell ref="A1:A3"/>
    <mergeCell ref="B2:D2"/>
    <mergeCell ref="E1:G1"/>
    <mergeCell ref="E2:G2"/>
    <mergeCell ref="K1:M1"/>
    <mergeCell ref="K2:M2"/>
    <mergeCell ref="N1:P1"/>
    <mergeCell ref="N2:P2"/>
    <mergeCell ref="H1:J2"/>
    <mergeCell ref="B29:D29"/>
    <mergeCell ref="B30:D30"/>
    <mergeCell ref="B1:D1"/>
    <mergeCell ref="H29:J29"/>
    <mergeCell ref="H30:J30"/>
    <mergeCell ref="K29:M29"/>
    <mergeCell ref="K30:M30"/>
    <mergeCell ref="N29:P29"/>
    <mergeCell ref="N30:P30"/>
    <mergeCell ref="E29:G29"/>
    <mergeCell ref="E30:G3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6" tint="0.59999389629810485"/>
  </sheetPr>
  <dimension ref="A1:AD24"/>
  <sheetViews>
    <sheetView workbookViewId="0">
      <selection activeCell="J31" sqref="J31"/>
    </sheetView>
  </sheetViews>
  <sheetFormatPr defaultRowHeight="12.75" x14ac:dyDescent="0.2"/>
  <cols>
    <col min="1" max="1" width="29.85546875" style="25" bestFit="1" customWidth="1"/>
    <col min="2" max="2" width="11.85546875" style="14" bestFit="1" customWidth="1"/>
    <col min="3" max="3" width="11.85546875" style="14" customWidth="1"/>
    <col min="4" max="4" width="4.5703125" style="26" bestFit="1" customWidth="1"/>
    <col min="5" max="6" width="5.140625" style="26" bestFit="1" customWidth="1"/>
    <col min="7" max="7" width="4.5703125" style="26" bestFit="1" customWidth="1"/>
    <col min="8" max="8" width="5.140625" style="26" bestFit="1" customWidth="1"/>
    <col min="9" max="9" width="4" style="27" bestFit="1" customWidth="1"/>
    <col min="10" max="13" width="4.5703125" style="27" bestFit="1" customWidth="1"/>
    <col min="14" max="14" width="14.42578125" style="14" bestFit="1" customWidth="1"/>
    <col min="15" max="15" width="13.42578125" style="14" bestFit="1" customWidth="1"/>
    <col min="16" max="16" width="9.140625" style="13"/>
    <col min="17" max="17" width="49" style="13" bestFit="1" customWidth="1"/>
    <col min="18" max="18" width="11.85546875" style="13" bestFit="1" customWidth="1"/>
    <col min="19" max="23" width="4.5703125" style="13" bestFit="1" customWidth="1"/>
    <col min="24" max="24" width="4" style="13" bestFit="1" customWidth="1"/>
    <col min="25" max="28" width="4.5703125" style="13" bestFit="1" customWidth="1"/>
    <col min="29" max="29" width="14.42578125" style="13" bestFit="1" customWidth="1"/>
    <col min="30" max="30" width="13.42578125" style="13" bestFit="1" customWidth="1"/>
    <col min="31" max="256" width="9.140625" style="13"/>
    <col min="257" max="257" width="29.85546875" style="13" bestFit="1" customWidth="1"/>
    <col min="258" max="258" width="11.85546875" style="13" bestFit="1" customWidth="1"/>
    <col min="259" max="259" width="11.85546875" style="13" customWidth="1"/>
    <col min="260" max="260" width="4.5703125" style="13" bestFit="1" customWidth="1"/>
    <col min="261" max="262" width="5.140625" style="13" bestFit="1" customWidth="1"/>
    <col min="263" max="263" width="4.5703125" style="13" bestFit="1" customWidth="1"/>
    <col min="264" max="264" width="5.140625" style="13" bestFit="1" customWidth="1"/>
    <col min="265" max="265" width="4" style="13" bestFit="1" customWidth="1"/>
    <col min="266" max="269" width="4.5703125" style="13" bestFit="1" customWidth="1"/>
    <col min="270" max="270" width="14.42578125" style="13" bestFit="1" customWidth="1"/>
    <col min="271" max="271" width="13.42578125" style="13" bestFit="1" customWidth="1"/>
    <col min="272" max="272" width="9.140625" style="13"/>
    <col min="273" max="273" width="49" style="13" bestFit="1" customWidth="1"/>
    <col min="274" max="274" width="11.85546875" style="13" bestFit="1" customWidth="1"/>
    <col min="275" max="279" width="4.5703125" style="13" bestFit="1" customWidth="1"/>
    <col min="280" max="280" width="4" style="13" bestFit="1" customWidth="1"/>
    <col min="281" max="284" width="4.5703125" style="13" bestFit="1" customWidth="1"/>
    <col min="285" max="285" width="14.42578125" style="13" bestFit="1" customWidth="1"/>
    <col min="286" max="286" width="13.42578125" style="13" bestFit="1" customWidth="1"/>
    <col min="287" max="512" width="9.140625" style="13"/>
    <col min="513" max="513" width="29.85546875" style="13" bestFit="1" customWidth="1"/>
    <col min="514" max="514" width="11.85546875" style="13" bestFit="1" customWidth="1"/>
    <col min="515" max="515" width="11.85546875" style="13" customWidth="1"/>
    <col min="516" max="516" width="4.5703125" style="13" bestFit="1" customWidth="1"/>
    <col min="517" max="518" width="5.140625" style="13" bestFit="1" customWidth="1"/>
    <col min="519" max="519" width="4.5703125" style="13" bestFit="1" customWidth="1"/>
    <col min="520" max="520" width="5.140625" style="13" bestFit="1" customWidth="1"/>
    <col min="521" max="521" width="4" style="13" bestFit="1" customWidth="1"/>
    <col min="522" max="525" width="4.5703125" style="13" bestFit="1" customWidth="1"/>
    <col min="526" max="526" width="14.42578125" style="13" bestFit="1" customWidth="1"/>
    <col min="527" max="527" width="13.42578125" style="13" bestFit="1" customWidth="1"/>
    <col min="528" max="528" width="9.140625" style="13"/>
    <col min="529" max="529" width="49" style="13" bestFit="1" customWidth="1"/>
    <col min="530" max="530" width="11.85546875" style="13" bestFit="1" customWidth="1"/>
    <col min="531" max="535" width="4.5703125" style="13" bestFit="1" customWidth="1"/>
    <col min="536" max="536" width="4" style="13" bestFit="1" customWidth="1"/>
    <col min="537" max="540" width="4.5703125" style="13" bestFit="1" customWidth="1"/>
    <col min="541" max="541" width="14.42578125" style="13" bestFit="1" customWidth="1"/>
    <col min="542" max="542" width="13.42578125" style="13" bestFit="1" customWidth="1"/>
    <col min="543" max="768" width="9.140625" style="13"/>
    <col min="769" max="769" width="29.85546875" style="13" bestFit="1" customWidth="1"/>
    <col min="770" max="770" width="11.85546875" style="13" bestFit="1" customWidth="1"/>
    <col min="771" max="771" width="11.85546875" style="13" customWidth="1"/>
    <col min="772" max="772" width="4.5703125" style="13" bestFit="1" customWidth="1"/>
    <col min="773" max="774" width="5.140625" style="13" bestFit="1" customWidth="1"/>
    <col min="775" max="775" width="4.5703125" style="13" bestFit="1" customWidth="1"/>
    <col min="776" max="776" width="5.140625" style="13" bestFit="1" customWidth="1"/>
    <col min="777" max="777" width="4" style="13" bestFit="1" customWidth="1"/>
    <col min="778" max="781" width="4.5703125" style="13" bestFit="1" customWidth="1"/>
    <col min="782" max="782" width="14.42578125" style="13" bestFit="1" customWidth="1"/>
    <col min="783" max="783" width="13.42578125" style="13" bestFit="1" customWidth="1"/>
    <col min="784" max="784" width="9.140625" style="13"/>
    <col min="785" max="785" width="49" style="13" bestFit="1" customWidth="1"/>
    <col min="786" max="786" width="11.85546875" style="13" bestFit="1" customWidth="1"/>
    <col min="787" max="791" width="4.5703125" style="13" bestFit="1" customWidth="1"/>
    <col min="792" max="792" width="4" style="13" bestFit="1" customWidth="1"/>
    <col min="793" max="796" width="4.5703125" style="13" bestFit="1" customWidth="1"/>
    <col min="797" max="797" width="14.42578125" style="13" bestFit="1" customWidth="1"/>
    <col min="798" max="798" width="13.42578125" style="13" bestFit="1" customWidth="1"/>
    <col min="799" max="1024" width="9.140625" style="13"/>
    <col min="1025" max="1025" width="29.85546875" style="13" bestFit="1" customWidth="1"/>
    <col min="1026" max="1026" width="11.85546875" style="13" bestFit="1" customWidth="1"/>
    <col min="1027" max="1027" width="11.85546875" style="13" customWidth="1"/>
    <col min="1028" max="1028" width="4.5703125" style="13" bestFit="1" customWidth="1"/>
    <col min="1029" max="1030" width="5.140625" style="13" bestFit="1" customWidth="1"/>
    <col min="1031" max="1031" width="4.5703125" style="13" bestFit="1" customWidth="1"/>
    <col min="1032" max="1032" width="5.140625" style="13" bestFit="1" customWidth="1"/>
    <col min="1033" max="1033" width="4" style="13" bestFit="1" customWidth="1"/>
    <col min="1034" max="1037" width="4.5703125" style="13" bestFit="1" customWidth="1"/>
    <col min="1038" max="1038" width="14.42578125" style="13" bestFit="1" customWidth="1"/>
    <col min="1039" max="1039" width="13.42578125" style="13" bestFit="1" customWidth="1"/>
    <col min="1040" max="1040" width="9.140625" style="13"/>
    <col min="1041" max="1041" width="49" style="13" bestFit="1" customWidth="1"/>
    <col min="1042" max="1042" width="11.85546875" style="13" bestFit="1" customWidth="1"/>
    <col min="1043" max="1047" width="4.5703125" style="13" bestFit="1" customWidth="1"/>
    <col min="1048" max="1048" width="4" style="13" bestFit="1" customWidth="1"/>
    <col min="1049" max="1052" width="4.5703125" style="13" bestFit="1" customWidth="1"/>
    <col min="1053" max="1053" width="14.42578125" style="13" bestFit="1" customWidth="1"/>
    <col min="1054" max="1054" width="13.42578125" style="13" bestFit="1" customWidth="1"/>
    <col min="1055" max="1280" width="9.140625" style="13"/>
    <col min="1281" max="1281" width="29.85546875" style="13" bestFit="1" customWidth="1"/>
    <col min="1282" max="1282" width="11.85546875" style="13" bestFit="1" customWidth="1"/>
    <col min="1283" max="1283" width="11.85546875" style="13" customWidth="1"/>
    <col min="1284" max="1284" width="4.5703125" style="13" bestFit="1" customWidth="1"/>
    <col min="1285" max="1286" width="5.140625" style="13" bestFit="1" customWidth="1"/>
    <col min="1287" max="1287" width="4.5703125" style="13" bestFit="1" customWidth="1"/>
    <col min="1288" max="1288" width="5.140625" style="13" bestFit="1" customWidth="1"/>
    <col min="1289" max="1289" width="4" style="13" bestFit="1" customWidth="1"/>
    <col min="1290" max="1293" width="4.5703125" style="13" bestFit="1" customWidth="1"/>
    <col min="1294" max="1294" width="14.42578125" style="13" bestFit="1" customWidth="1"/>
    <col min="1295" max="1295" width="13.42578125" style="13" bestFit="1" customWidth="1"/>
    <col min="1296" max="1296" width="9.140625" style="13"/>
    <col min="1297" max="1297" width="49" style="13" bestFit="1" customWidth="1"/>
    <col min="1298" max="1298" width="11.85546875" style="13" bestFit="1" customWidth="1"/>
    <col min="1299" max="1303" width="4.5703125" style="13" bestFit="1" customWidth="1"/>
    <col min="1304" max="1304" width="4" style="13" bestFit="1" customWidth="1"/>
    <col min="1305" max="1308" width="4.5703125" style="13" bestFit="1" customWidth="1"/>
    <col min="1309" max="1309" width="14.42578125" style="13" bestFit="1" customWidth="1"/>
    <col min="1310" max="1310" width="13.42578125" style="13" bestFit="1" customWidth="1"/>
    <col min="1311" max="1536" width="9.140625" style="13"/>
    <col min="1537" max="1537" width="29.85546875" style="13" bestFit="1" customWidth="1"/>
    <col min="1538" max="1538" width="11.85546875" style="13" bestFit="1" customWidth="1"/>
    <col min="1539" max="1539" width="11.85546875" style="13" customWidth="1"/>
    <col min="1540" max="1540" width="4.5703125" style="13" bestFit="1" customWidth="1"/>
    <col min="1541" max="1542" width="5.140625" style="13" bestFit="1" customWidth="1"/>
    <col min="1543" max="1543" width="4.5703125" style="13" bestFit="1" customWidth="1"/>
    <col min="1544" max="1544" width="5.140625" style="13" bestFit="1" customWidth="1"/>
    <col min="1545" max="1545" width="4" style="13" bestFit="1" customWidth="1"/>
    <col min="1546" max="1549" width="4.5703125" style="13" bestFit="1" customWidth="1"/>
    <col min="1550" max="1550" width="14.42578125" style="13" bestFit="1" customWidth="1"/>
    <col min="1551" max="1551" width="13.42578125" style="13" bestFit="1" customWidth="1"/>
    <col min="1552" max="1552" width="9.140625" style="13"/>
    <col min="1553" max="1553" width="49" style="13" bestFit="1" customWidth="1"/>
    <col min="1554" max="1554" width="11.85546875" style="13" bestFit="1" customWidth="1"/>
    <col min="1555" max="1559" width="4.5703125" style="13" bestFit="1" customWidth="1"/>
    <col min="1560" max="1560" width="4" style="13" bestFit="1" customWidth="1"/>
    <col min="1561" max="1564" width="4.5703125" style="13" bestFit="1" customWidth="1"/>
    <col min="1565" max="1565" width="14.42578125" style="13" bestFit="1" customWidth="1"/>
    <col min="1566" max="1566" width="13.42578125" style="13" bestFit="1" customWidth="1"/>
    <col min="1567" max="1792" width="9.140625" style="13"/>
    <col min="1793" max="1793" width="29.85546875" style="13" bestFit="1" customWidth="1"/>
    <col min="1794" max="1794" width="11.85546875" style="13" bestFit="1" customWidth="1"/>
    <col min="1795" max="1795" width="11.85546875" style="13" customWidth="1"/>
    <col min="1796" max="1796" width="4.5703125" style="13" bestFit="1" customWidth="1"/>
    <col min="1797" max="1798" width="5.140625" style="13" bestFit="1" customWidth="1"/>
    <col min="1799" max="1799" width="4.5703125" style="13" bestFit="1" customWidth="1"/>
    <col min="1800" max="1800" width="5.140625" style="13" bestFit="1" customWidth="1"/>
    <col min="1801" max="1801" width="4" style="13" bestFit="1" customWidth="1"/>
    <col min="1802" max="1805" width="4.5703125" style="13" bestFit="1" customWidth="1"/>
    <col min="1806" max="1806" width="14.42578125" style="13" bestFit="1" customWidth="1"/>
    <col min="1807" max="1807" width="13.42578125" style="13" bestFit="1" customWidth="1"/>
    <col min="1808" max="1808" width="9.140625" style="13"/>
    <col min="1809" max="1809" width="49" style="13" bestFit="1" customWidth="1"/>
    <col min="1810" max="1810" width="11.85546875" style="13" bestFit="1" customWidth="1"/>
    <col min="1811" max="1815" width="4.5703125" style="13" bestFit="1" customWidth="1"/>
    <col min="1816" max="1816" width="4" style="13" bestFit="1" customWidth="1"/>
    <col min="1817" max="1820" width="4.5703125" style="13" bestFit="1" customWidth="1"/>
    <col min="1821" max="1821" width="14.42578125" style="13" bestFit="1" customWidth="1"/>
    <col min="1822" max="1822" width="13.42578125" style="13" bestFit="1" customWidth="1"/>
    <col min="1823" max="2048" width="9.140625" style="13"/>
    <col min="2049" max="2049" width="29.85546875" style="13" bestFit="1" customWidth="1"/>
    <col min="2050" max="2050" width="11.85546875" style="13" bestFit="1" customWidth="1"/>
    <col min="2051" max="2051" width="11.85546875" style="13" customWidth="1"/>
    <col min="2052" max="2052" width="4.5703125" style="13" bestFit="1" customWidth="1"/>
    <col min="2053" max="2054" width="5.140625" style="13" bestFit="1" customWidth="1"/>
    <col min="2055" max="2055" width="4.5703125" style="13" bestFit="1" customWidth="1"/>
    <col min="2056" max="2056" width="5.140625" style="13" bestFit="1" customWidth="1"/>
    <col min="2057" max="2057" width="4" style="13" bestFit="1" customWidth="1"/>
    <col min="2058" max="2061" width="4.5703125" style="13" bestFit="1" customWidth="1"/>
    <col min="2062" max="2062" width="14.42578125" style="13" bestFit="1" customWidth="1"/>
    <col min="2063" max="2063" width="13.42578125" style="13" bestFit="1" customWidth="1"/>
    <col min="2064" max="2064" width="9.140625" style="13"/>
    <col min="2065" max="2065" width="49" style="13" bestFit="1" customWidth="1"/>
    <col min="2066" max="2066" width="11.85546875" style="13" bestFit="1" customWidth="1"/>
    <col min="2067" max="2071" width="4.5703125" style="13" bestFit="1" customWidth="1"/>
    <col min="2072" max="2072" width="4" style="13" bestFit="1" customWidth="1"/>
    <col min="2073" max="2076" width="4.5703125" style="13" bestFit="1" customWidth="1"/>
    <col min="2077" max="2077" width="14.42578125" style="13" bestFit="1" customWidth="1"/>
    <col min="2078" max="2078" width="13.42578125" style="13" bestFit="1" customWidth="1"/>
    <col min="2079" max="2304" width="9.140625" style="13"/>
    <col min="2305" max="2305" width="29.85546875" style="13" bestFit="1" customWidth="1"/>
    <col min="2306" max="2306" width="11.85546875" style="13" bestFit="1" customWidth="1"/>
    <col min="2307" max="2307" width="11.85546875" style="13" customWidth="1"/>
    <col min="2308" max="2308" width="4.5703125" style="13" bestFit="1" customWidth="1"/>
    <col min="2309" max="2310" width="5.140625" style="13" bestFit="1" customWidth="1"/>
    <col min="2311" max="2311" width="4.5703125" style="13" bestFit="1" customWidth="1"/>
    <col min="2312" max="2312" width="5.140625" style="13" bestFit="1" customWidth="1"/>
    <col min="2313" max="2313" width="4" style="13" bestFit="1" customWidth="1"/>
    <col min="2314" max="2317" width="4.5703125" style="13" bestFit="1" customWidth="1"/>
    <col min="2318" max="2318" width="14.42578125" style="13" bestFit="1" customWidth="1"/>
    <col min="2319" max="2319" width="13.42578125" style="13" bestFit="1" customWidth="1"/>
    <col min="2320" max="2320" width="9.140625" style="13"/>
    <col min="2321" max="2321" width="49" style="13" bestFit="1" customWidth="1"/>
    <col min="2322" max="2322" width="11.85546875" style="13" bestFit="1" customWidth="1"/>
    <col min="2323" max="2327" width="4.5703125" style="13" bestFit="1" customWidth="1"/>
    <col min="2328" max="2328" width="4" style="13" bestFit="1" customWidth="1"/>
    <col min="2329" max="2332" width="4.5703125" style="13" bestFit="1" customWidth="1"/>
    <col min="2333" max="2333" width="14.42578125" style="13" bestFit="1" customWidth="1"/>
    <col min="2334" max="2334" width="13.42578125" style="13" bestFit="1" customWidth="1"/>
    <col min="2335" max="2560" width="9.140625" style="13"/>
    <col min="2561" max="2561" width="29.85546875" style="13" bestFit="1" customWidth="1"/>
    <col min="2562" max="2562" width="11.85546875" style="13" bestFit="1" customWidth="1"/>
    <col min="2563" max="2563" width="11.85546875" style="13" customWidth="1"/>
    <col min="2564" max="2564" width="4.5703125" style="13" bestFit="1" customWidth="1"/>
    <col min="2565" max="2566" width="5.140625" style="13" bestFit="1" customWidth="1"/>
    <col min="2567" max="2567" width="4.5703125" style="13" bestFit="1" customWidth="1"/>
    <col min="2568" max="2568" width="5.140625" style="13" bestFit="1" customWidth="1"/>
    <col min="2569" max="2569" width="4" style="13" bestFit="1" customWidth="1"/>
    <col min="2570" max="2573" width="4.5703125" style="13" bestFit="1" customWidth="1"/>
    <col min="2574" max="2574" width="14.42578125" style="13" bestFit="1" customWidth="1"/>
    <col min="2575" max="2575" width="13.42578125" style="13" bestFit="1" customWidth="1"/>
    <col min="2576" max="2576" width="9.140625" style="13"/>
    <col min="2577" max="2577" width="49" style="13" bestFit="1" customWidth="1"/>
    <col min="2578" max="2578" width="11.85546875" style="13" bestFit="1" customWidth="1"/>
    <col min="2579" max="2583" width="4.5703125" style="13" bestFit="1" customWidth="1"/>
    <col min="2584" max="2584" width="4" style="13" bestFit="1" customWidth="1"/>
    <col min="2585" max="2588" width="4.5703125" style="13" bestFit="1" customWidth="1"/>
    <col min="2589" max="2589" width="14.42578125" style="13" bestFit="1" customWidth="1"/>
    <col min="2590" max="2590" width="13.42578125" style="13" bestFit="1" customWidth="1"/>
    <col min="2591" max="2816" width="9.140625" style="13"/>
    <col min="2817" max="2817" width="29.85546875" style="13" bestFit="1" customWidth="1"/>
    <col min="2818" max="2818" width="11.85546875" style="13" bestFit="1" customWidth="1"/>
    <col min="2819" max="2819" width="11.85546875" style="13" customWidth="1"/>
    <col min="2820" max="2820" width="4.5703125" style="13" bestFit="1" customWidth="1"/>
    <col min="2821" max="2822" width="5.140625" style="13" bestFit="1" customWidth="1"/>
    <col min="2823" max="2823" width="4.5703125" style="13" bestFit="1" customWidth="1"/>
    <col min="2824" max="2824" width="5.140625" style="13" bestFit="1" customWidth="1"/>
    <col min="2825" max="2825" width="4" style="13" bestFit="1" customWidth="1"/>
    <col min="2826" max="2829" width="4.5703125" style="13" bestFit="1" customWidth="1"/>
    <col min="2830" max="2830" width="14.42578125" style="13" bestFit="1" customWidth="1"/>
    <col min="2831" max="2831" width="13.42578125" style="13" bestFit="1" customWidth="1"/>
    <col min="2832" max="2832" width="9.140625" style="13"/>
    <col min="2833" max="2833" width="49" style="13" bestFit="1" customWidth="1"/>
    <col min="2834" max="2834" width="11.85546875" style="13" bestFit="1" customWidth="1"/>
    <col min="2835" max="2839" width="4.5703125" style="13" bestFit="1" customWidth="1"/>
    <col min="2840" max="2840" width="4" style="13" bestFit="1" customWidth="1"/>
    <col min="2841" max="2844" width="4.5703125" style="13" bestFit="1" customWidth="1"/>
    <col min="2845" max="2845" width="14.42578125" style="13" bestFit="1" customWidth="1"/>
    <col min="2846" max="2846" width="13.42578125" style="13" bestFit="1" customWidth="1"/>
    <col min="2847" max="3072" width="9.140625" style="13"/>
    <col min="3073" max="3073" width="29.85546875" style="13" bestFit="1" customWidth="1"/>
    <col min="3074" max="3074" width="11.85546875" style="13" bestFit="1" customWidth="1"/>
    <col min="3075" max="3075" width="11.85546875" style="13" customWidth="1"/>
    <col min="3076" max="3076" width="4.5703125" style="13" bestFit="1" customWidth="1"/>
    <col min="3077" max="3078" width="5.140625" style="13" bestFit="1" customWidth="1"/>
    <col min="3079" max="3079" width="4.5703125" style="13" bestFit="1" customWidth="1"/>
    <col min="3080" max="3080" width="5.140625" style="13" bestFit="1" customWidth="1"/>
    <col min="3081" max="3081" width="4" style="13" bestFit="1" customWidth="1"/>
    <col min="3082" max="3085" width="4.5703125" style="13" bestFit="1" customWidth="1"/>
    <col min="3086" max="3086" width="14.42578125" style="13" bestFit="1" customWidth="1"/>
    <col min="3087" max="3087" width="13.42578125" style="13" bestFit="1" customWidth="1"/>
    <col min="3088" max="3088" width="9.140625" style="13"/>
    <col min="3089" max="3089" width="49" style="13" bestFit="1" customWidth="1"/>
    <col min="3090" max="3090" width="11.85546875" style="13" bestFit="1" customWidth="1"/>
    <col min="3091" max="3095" width="4.5703125" style="13" bestFit="1" customWidth="1"/>
    <col min="3096" max="3096" width="4" style="13" bestFit="1" customWidth="1"/>
    <col min="3097" max="3100" width="4.5703125" style="13" bestFit="1" customWidth="1"/>
    <col min="3101" max="3101" width="14.42578125" style="13" bestFit="1" customWidth="1"/>
    <col min="3102" max="3102" width="13.42578125" style="13" bestFit="1" customWidth="1"/>
    <col min="3103" max="3328" width="9.140625" style="13"/>
    <col min="3329" max="3329" width="29.85546875" style="13" bestFit="1" customWidth="1"/>
    <col min="3330" max="3330" width="11.85546875" style="13" bestFit="1" customWidth="1"/>
    <col min="3331" max="3331" width="11.85546875" style="13" customWidth="1"/>
    <col min="3332" max="3332" width="4.5703125" style="13" bestFit="1" customWidth="1"/>
    <col min="3333" max="3334" width="5.140625" style="13" bestFit="1" customWidth="1"/>
    <col min="3335" max="3335" width="4.5703125" style="13" bestFit="1" customWidth="1"/>
    <col min="3336" max="3336" width="5.140625" style="13" bestFit="1" customWidth="1"/>
    <col min="3337" max="3337" width="4" style="13" bestFit="1" customWidth="1"/>
    <col min="3338" max="3341" width="4.5703125" style="13" bestFit="1" customWidth="1"/>
    <col min="3342" max="3342" width="14.42578125" style="13" bestFit="1" customWidth="1"/>
    <col min="3343" max="3343" width="13.42578125" style="13" bestFit="1" customWidth="1"/>
    <col min="3344" max="3344" width="9.140625" style="13"/>
    <col min="3345" max="3345" width="49" style="13" bestFit="1" customWidth="1"/>
    <col min="3346" max="3346" width="11.85546875" style="13" bestFit="1" customWidth="1"/>
    <col min="3347" max="3351" width="4.5703125" style="13" bestFit="1" customWidth="1"/>
    <col min="3352" max="3352" width="4" style="13" bestFit="1" customWidth="1"/>
    <col min="3353" max="3356" width="4.5703125" style="13" bestFit="1" customWidth="1"/>
    <col min="3357" max="3357" width="14.42578125" style="13" bestFit="1" customWidth="1"/>
    <col min="3358" max="3358" width="13.42578125" style="13" bestFit="1" customWidth="1"/>
    <col min="3359" max="3584" width="9.140625" style="13"/>
    <col min="3585" max="3585" width="29.85546875" style="13" bestFit="1" customWidth="1"/>
    <col min="3586" max="3586" width="11.85546875" style="13" bestFit="1" customWidth="1"/>
    <col min="3587" max="3587" width="11.85546875" style="13" customWidth="1"/>
    <col min="3588" max="3588" width="4.5703125" style="13" bestFit="1" customWidth="1"/>
    <col min="3589" max="3590" width="5.140625" style="13" bestFit="1" customWidth="1"/>
    <col min="3591" max="3591" width="4.5703125" style="13" bestFit="1" customWidth="1"/>
    <col min="3592" max="3592" width="5.140625" style="13" bestFit="1" customWidth="1"/>
    <col min="3593" max="3593" width="4" style="13" bestFit="1" customWidth="1"/>
    <col min="3594" max="3597" width="4.5703125" style="13" bestFit="1" customWidth="1"/>
    <col min="3598" max="3598" width="14.42578125" style="13" bestFit="1" customWidth="1"/>
    <col min="3599" max="3599" width="13.42578125" style="13" bestFit="1" customWidth="1"/>
    <col min="3600" max="3600" width="9.140625" style="13"/>
    <col min="3601" max="3601" width="49" style="13" bestFit="1" customWidth="1"/>
    <col min="3602" max="3602" width="11.85546875" style="13" bestFit="1" customWidth="1"/>
    <col min="3603" max="3607" width="4.5703125" style="13" bestFit="1" customWidth="1"/>
    <col min="3608" max="3608" width="4" style="13" bestFit="1" customWidth="1"/>
    <col min="3609" max="3612" width="4.5703125" style="13" bestFit="1" customWidth="1"/>
    <col min="3613" max="3613" width="14.42578125" style="13" bestFit="1" customWidth="1"/>
    <col min="3614" max="3614" width="13.42578125" style="13" bestFit="1" customWidth="1"/>
    <col min="3615" max="3840" width="9.140625" style="13"/>
    <col min="3841" max="3841" width="29.85546875" style="13" bestFit="1" customWidth="1"/>
    <col min="3842" max="3842" width="11.85546875" style="13" bestFit="1" customWidth="1"/>
    <col min="3843" max="3843" width="11.85546875" style="13" customWidth="1"/>
    <col min="3844" max="3844" width="4.5703125" style="13" bestFit="1" customWidth="1"/>
    <col min="3845" max="3846" width="5.140625" style="13" bestFit="1" customWidth="1"/>
    <col min="3847" max="3847" width="4.5703125" style="13" bestFit="1" customWidth="1"/>
    <col min="3848" max="3848" width="5.140625" style="13" bestFit="1" customWidth="1"/>
    <col min="3849" max="3849" width="4" style="13" bestFit="1" customWidth="1"/>
    <col min="3850" max="3853" width="4.5703125" style="13" bestFit="1" customWidth="1"/>
    <col min="3854" max="3854" width="14.42578125" style="13" bestFit="1" customWidth="1"/>
    <col min="3855" max="3855" width="13.42578125" style="13" bestFit="1" customWidth="1"/>
    <col min="3856" max="3856" width="9.140625" style="13"/>
    <col min="3857" max="3857" width="49" style="13" bestFit="1" customWidth="1"/>
    <col min="3858" max="3858" width="11.85546875" style="13" bestFit="1" customWidth="1"/>
    <col min="3859" max="3863" width="4.5703125" style="13" bestFit="1" customWidth="1"/>
    <col min="3864" max="3864" width="4" style="13" bestFit="1" customWidth="1"/>
    <col min="3865" max="3868" width="4.5703125" style="13" bestFit="1" customWidth="1"/>
    <col min="3869" max="3869" width="14.42578125" style="13" bestFit="1" customWidth="1"/>
    <col min="3870" max="3870" width="13.42578125" style="13" bestFit="1" customWidth="1"/>
    <col min="3871" max="4096" width="9.140625" style="13"/>
    <col min="4097" max="4097" width="29.85546875" style="13" bestFit="1" customWidth="1"/>
    <col min="4098" max="4098" width="11.85546875" style="13" bestFit="1" customWidth="1"/>
    <col min="4099" max="4099" width="11.85546875" style="13" customWidth="1"/>
    <col min="4100" max="4100" width="4.5703125" style="13" bestFit="1" customWidth="1"/>
    <col min="4101" max="4102" width="5.140625" style="13" bestFit="1" customWidth="1"/>
    <col min="4103" max="4103" width="4.5703125" style="13" bestFit="1" customWidth="1"/>
    <col min="4104" max="4104" width="5.140625" style="13" bestFit="1" customWidth="1"/>
    <col min="4105" max="4105" width="4" style="13" bestFit="1" customWidth="1"/>
    <col min="4106" max="4109" width="4.5703125" style="13" bestFit="1" customWidth="1"/>
    <col min="4110" max="4110" width="14.42578125" style="13" bestFit="1" customWidth="1"/>
    <col min="4111" max="4111" width="13.42578125" style="13" bestFit="1" customWidth="1"/>
    <col min="4112" max="4112" width="9.140625" style="13"/>
    <col min="4113" max="4113" width="49" style="13" bestFit="1" customWidth="1"/>
    <col min="4114" max="4114" width="11.85546875" style="13" bestFit="1" customWidth="1"/>
    <col min="4115" max="4119" width="4.5703125" style="13" bestFit="1" customWidth="1"/>
    <col min="4120" max="4120" width="4" style="13" bestFit="1" customWidth="1"/>
    <col min="4121" max="4124" width="4.5703125" style="13" bestFit="1" customWidth="1"/>
    <col min="4125" max="4125" width="14.42578125" style="13" bestFit="1" customWidth="1"/>
    <col min="4126" max="4126" width="13.42578125" style="13" bestFit="1" customWidth="1"/>
    <col min="4127" max="4352" width="9.140625" style="13"/>
    <col min="4353" max="4353" width="29.85546875" style="13" bestFit="1" customWidth="1"/>
    <col min="4354" max="4354" width="11.85546875" style="13" bestFit="1" customWidth="1"/>
    <col min="4355" max="4355" width="11.85546875" style="13" customWidth="1"/>
    <col min="4356" max="4356" width="4.5703125" style="13" bestFit="1" customWidth="1"/>
    <col min="4357" max="4358" width="5.140625" style="13" bestFit="1" customWidth="1"/>
    <col min="4359" max="4359" width="4.5703125" style="13" bestFit="1" customWidth="1"/>
    <col min="4360" max="4360" width="5.140625" style="13" bestFit="1" customWidth="1"/>
    <col min="4361" max="4361" width="4" style="13" bestFit="1" customWidth="1"/>
    <col min="4362" max="4365" width="4.5703125" style="13" bestFit="1" customWidth="1"/>
    <col min="4366" max="4366" width="14.42578125" style="13" bestFit="1" customWidth="1"/>
    <col min="4367" max="4367" width="13.42578125" style="13" bestFit="1" customWidth="1"/>
    <col min="4368" max="4368" width="9.140625" style="13"/>
    <col min="4369" max="4369" width="49" style="13" bestFit="1" customWidth="1"/>
    <col min="4370" max="4370" width="11.85546875" style="13" bestFit="1" customWidth="1"/>
    <col min="4371" max="4375" width="4.5703125" style="13" bestFit="1" customWidth="1"/>
    <col min="4376" max="4376" width="4" style="13" bestFit="1" customWidth="1"/>
    <col min="4377" max="4380" width="4.5703125" style="13" bestFit="1" customWidth="1"/>
    <col min="4381" max="4381" width="14.42578125" style="13" bestFit="1" customWidth="1"/>
    <col min="4382" max="4382" width="13.42578125" style="13" bestFit="1" customWidth="1"/>
    <col min="4383" max="4608" width="9.140625" style="13"/>
    <col min="4609" max="4609" width="29.85546875" style="13" bestFit="1" customWidth="1"/>
    <col min="4610" max="4610" width="11.85546875" style="13" bestFit="1" customWidth="1"/>
    <col min="4611" max="4611" width="11.85546875" style="13" customWidth="1"/>
    <col min="4612" max="4612" width="4.5703125" style="13" bestFit="1" customWidth="1"/>
    <col min="4613" max="4614" width="5.140625" style="13" bestFit="1" customWidth="1"/>
    <col min="4615" max="4615" width="4.5703125" style="13" bestFit="1" customWidth="1"/>
    <col min="4616" max="4616" width="5.140625" style="13" bestFit="1" customWidth="1"/>
    <col min="4617" max="4617" width="4" style="13" bestFit="1" customWidth="1"/>
    <col min="4618" max="4621" width="4.5703125" style="13" bestFit="1" customWidth="1"/>
    <col min="4622" max="4622" width="14.42578125" style="13" bestFit="1" customWidth="1"/>
    <col min="4623" max="4623" width="13.42578125" style="13" bestFit="1" customWidth="1"/>
    <col min="4624" max="4624" width="9.140625" style="13"/>
    <col min="4625" max="4625" width="49" style="13" bestFit="1" customWidth="1"/>
    <col min="4626" max="4626" width="11.85546875" style="13" bestFit="1" customWidth="1"/>
    <col min="4627" max="4631" width="4.5703125" style="13" bestFit="1" customWidth="1"/>
    <col min="4632" max="4632" width="4" style="13" bestFit="1" customWidth="1"/>
    <col min="4633" max="4636" width="4.5703125" style="13" bestFit="1" customWidth="1"/>
    <col min="4637" max="4637" width="14.42578125" style="13" bestFit="1" customWidth="1"/>
    <col min="4638" max="4638" width="13.42578125" style="13" bestFit="1" customWidth="1"/>
    <col min="4639" max="4864" width="9.140625" style="13"/>
    <col min="4865" max="4865" width="29.85546875" style="13" bestFit="1" customWidth="1"/>
    <col min="4866" max="4866" width="11.85546875" style="13" bestFit="1" customWidth="1"/>
    <col min="4867" max="4867" width="11.85546875" style="13" customWidth="1"/>
    <col min="4868" max="4868" width="4.5703125" style="13" bestFit="1" customWidth="1"/>
    <col min="4869" max="4870" width="5.140625" style="13" bestFit="1" customWidth="1"/>
    <col min="4871" max="4871" width="4.5703125" style="13" bestFit="1" customWidth="1"/>
    <col min="4872" max="4872" width="5.140625" style="13" bestFit="1" customWidth="1"/>
    <col min="4873" max="4873" width="4" style="13" bestFit="1" customWidth="1"/>
    <col min="4874" max="4877" width="4.5703125" style="13" bestFit="1" customWidth="1"/>
    <col min="4878" max="4878" width="14.42578125" style="13" bestFit="1" customWidth="1"/>
    <col min="4879" max="4879" width="13.42578125" style="13" bestFit="1" customWidth="1"/>
    <col min="4880" max="4880" width="9.140625" style="13"/>
    <col min="4881" max="4881" width="49" style="13" bestFit="1" customWidth="1"/>
    <col min="4882" max="4882" width="11.85546875" style="13" bestFit="1" customWidth="1"/>
    <col min="4883" max="4887" width="4.5703125" style="13" bestFit="1" customWidth="1"/>
    <col min="4888" max="4888" width="4" style="13" bestFit="1" customWidth="1"/>
    <col min="4889" max="4892" width="4.5703125" style="13" bestFit="1" customWidth="1"/>
    <col min="4893" max="4893" width="14.42578125" style="13" bestFit="1" customWidth="1"/>
    <col min="4894" max="4894" width="13.42578125" style="13" bestFit="1" customWidth="1"/>
    <col min="4895" max="5120" width="9.140625" style="13"/>
    <col min="5121" max="5121" width="29.85546875" style="13" bestFit="1" customWidth="1"/>
    <col min="5122" max="5122" width="11.85546875" style="13" bestFit="1" customWidth="1"/>
    <col min="5123" max="5123" width="11.85546875" style="13" customWidth="1"/>
    <col min="5124" max="5124" width="4.5703125" style="13" bestFit="1" customWidth="1"/>
    <col min="5125" max="5126" width="5.140625" style="13" bestFit="1" customWidth="1"/>
    <col min="5127" max="5127" width="4.5703125" style="13" bestFit="1" customWidth="1"/>
    <col min="5128" max="5128" width="5.140625" style="13" bestFit="1" customWidth="1"/>
    <col min="5129" max="5129" width="4" style="13" bestFit="1" customWidth="1"/>
    <col min="5130" max="5133" width="4.5703125" style="13" bestFit="1" customWidth="1"/>
    <col min="5134" max="5134" width="14.42578125" style="13" bestFit="1" customWidth="1"/>
    <col min="5135" max="5135" width="13.42578125" style="13" bestFit="1" customWidth="1"/>
    <col min="5136" max="5136" width="9.140625" style="13"/>
    <col min="5137" max="5137" width="49" style="13" bestFit="1" customWidth="1"/>
    <col min="5138" max="5138" width="11.85546875" style="13" bestFit="1" customWidth="1"/>
    <col min="5139" max="5143" width="4.5703125" style="13" bestFit="1" customWidth="1"/>
    <col min="5144" max="5144" width="4" style="13" bestFit="1" customWidth="1"/>
    <col min="5145" max="5148" width="4.5703125" style="13" bestFit="1" customWidth="1"/>
    <col min="5149" max="5149" width="14.42578125" style="13" bestFit="1" customWidth="1"/>
    <col min="5150" max="5150" width="13.42578125" style="13" bestFit="1" customWidth="1"/>
    <col min="5151" max="5376" width="9.140625" style="13"/>
    <col min="5377" max="5377" width="29.85546875" style="13" bestFit="1" customWidth="1"/>
    <col min="5378" max="5378" width="11.85546875" style="13" bestFit="1" customWidth="1"/>
    <col min="5379" max="5379" width="11.85546875" style="13" customWidth="1"/>
    <col min="5380" max="5380" width="4.5703125" style="13" bestFit="1" customWidth="1"/>
    <col min="5381" max="5382" width="5.140625" style="13" bestFit="1" customWidth="1"/>
    <col min="5383" max="5383" width="4.5703125" style="13" bestFit="1" customWidth="1"/>
    <col min="5384" max="5384" width="5.140625" style="13" bestFit="1" customWidth="1"/>
    <col min="5385" max="5385" width="4" style="13" bestFit="1" customWidth="1"/>
    <col min="5386" max="5389" width="4.5703125" style="13" bestFit="1" customWidth="1"/>
    <col min="5390" max="5390" width="14.42578125" style="13" bestFit="1" customWidth="1"/>
    <col min="5391" max="5391" width="13.42578125" style="13" bestFit="1" customWidth="1"/>
    <col min="5392" max="5392" width="9.140625" style="13"/>
    <col min="5393" max="5393" width="49" style="13" bestFit="1" customWidth="1"/>
    <col min="5394" max="5394" width="11.85546875" style="13" bestFit="1" customWidth="1"/>
    <col min="5395" max="5399" width="4.5703125" style="13" bestFit="1" customWidth="1"/>
    <col min="5400" max="5400" width="4" style="13" bestFit="1" customWidth="1"/>
    <col min="5401" max="5404" width="4.5703125" style="13" bestFit="1" customWidth="1"/>
    <col min="5405" max="5405" width="14.42578125" style="13" bestFit="1" customWidth="1"/>
    <col min="5406" max="5406" width="13.42578125" style="13" bestFit="1" customWidth="1"/>
    <col min="5407" max="5632" width="9.140625" style="13"/>
    <col min="5633" max="5633" width="29.85546875" style="13" bestFit="1" customWidth="1"/>
    <col min="5634" max="5634" width="11.85546875" style="13" bestFit="1" customWidth="1"/>
    <col min="5635" max="5635" width="11.85546875" style="13" customWidth="1"/>
    <col min="5636" max="5636" width="4.5703125" style="13" bestFit="1" customWidth="1"/>
    <col min="5637" max="5638" width="5.140625" style="13" bestFit="1" customWidth="1"/>
    <col min="5639" max="5639" width="4.5703125" style="13" bestFit="1" customWidth="1"/>
    <col min="5640" max="5640" width="5.140625" style="13" bestFit="1" customWidth="1"/>
    <col min="5641" max="5641" width="4" style="13" bestFit="1" customWidth="1"/>
    <col min="5642" max="5645" width="4.5703125" style="13" bestFit="1" customWidth="1"/>
    <col min="5646" max="5646" width="14.42578125" style="13" bestFit="1" customWidth="1"/>
    <col min="5647" max="5647" width="13.42578125" style="13" bestFit="1" customWidth="1"/>
    <col min="5648" max="5648" width="9.140625" style="13"/>
    <col min="5649" max="5649" width="49" style="13" bestFit="1" customWidth="1"/>
    <col min="5650" max="5650" width="11.85546875" style="13" bestFit="1" customWidth="1"/>
    <col min="5651" max="5655" width="4.5703125" style="13" bestFit="1" customWidth="1"/>
    <col min="5656" max="5656" width="4" style="13" bestFit="1" customWidth="1"/>
    <col min="5657" max="5660" width="4.5703125" style="13" bestFit="1" customWidth="1"/>
    <col min="5661" max="5661" width="14.42578125" style="13" bestFit="1" customWidth="1"/>
    <col min="5662" max="5662" width="13.42578125" style="13" bestFit="1" customWidth="1"/>
    <col min="5663" max="5888" width="9.140625" style="13"/>
    <col min="5889" max="5889" width="29.85546875" style="13" bestFit="1" customWidth="1"/>
    <col min="5890" max="5890" width="11.85546875" style="13" bestFit="1" customWidth="1"/>
    <col min="5891" max="5891" width="11.85546875" style="13" customWidth="1"/>
    <col min="5892" max="5892" width="4.5703125" style="13" bestFit="1" customWidth="1"/>
    <col min="5893" max="5894" width="5.140625" style="13" bestFit="1" customWidth="1"/>
    <col min="5895" max="5895" width="4.5703125" style="13" bestFit="1" customWidth="1"/>
    <col min="5896" max="5896" width="5.140625" style="13" bestFit="1" customWidth="1"/>
    <col min="5897" max="5897" width="4" style="13" bestFit="1" customWidth="1"/>
    <col min="5898" max="5901" width="4.5703125" style="13" bestFit="1" customWidth="1"/>
    <col min="5902" max="5902" width="14.42578125" style="13" bestFit="1" customWidth="1"/>
    <col min="5903" max="5903" width="13.42578125" style="13" bestFit="1" customWidth="1"/>
    <col min="5904" max="5904" width="9.140625" style="13"/>
    <col min="5905" max="5905" width="49" style="13" bestFit="1" customWidth="1"/>
    <col min="5906" max="5906" width="11.85546875" style="13" bestFit="1" customWidth="1"/>
    <col min="5907" max="5911" width="4.5703125" style="13" bestFit="1" customWidth="1"/>
    <col min="5912" max="5912" width="4" style="13" bestFit="1" customWidth="1"/>
    <col min="5913" max="5916" width="4.5703125" style="13" bestFit="1" customWidth="1"/>
    <col min="5917" max="5917" width="14.42578125" style="13" bestFit="1" customWidth="1"/>
    <col min="5918" max="5918" width="13.42578125" style="13" bestFit="1" customWidth="1"/>
    <col min="5919" max="6144" width="9.140625" style="13"/>
    <col min="6145" max="6145" width="29.85546875" style="13" bestFit="1" customWidth="1"/>
    <col min="6146" max="6146" width="11.85546875" style="13" bestFit="1" customWidth="1"/>
    <col min="6147" max="6147" width="11.85546875" style="13" customWidth="1"/>
    <col min="6148" max="6148" width="4.5703125" style="13" bestFit="1" customWidth="1"/>
    <col min="6149" max="6150" width="5.140625" style="13" bestFit="1" customWidth="1"/>
    <col min="6151" max="6151" width="4.5703125" style="13" bestFit="1" customWidth="1"/>
    <col min="6152" max="6152" width="5.140625" style="13" bestFit="1" customWidth="1"/>
    <col min="6153" max="6153" width="4" style="13" bestFit="1" customWidth="1"/>
    <col min="6154" max="6157" width="4.5703125" style="13" bestFit="1" customWidth="1"/>
    <col min="6158" max="6158" width="14.42578125" style="13" bestFit="1" customWidth="1"/>
    <col min="6159" max="6159" width="13.42578125" style="13" bestFit="1" customWidth="1"/>
    <col min="6160" max="6160" width="9.140625" style="13"/>
    <col min="6161" max="6161" width="49" style="13" bestFit="1" customWidth="1"/>
    <col min="6162" max="6162" width="11.85546875" style="13" bestFit="1" customWidth="1"/>
    <col min="6163" max="6167" width="4.5703125" style="13" bestFit="1" customWidth="1"/>
    <col min="6168" max="6168" width="4" style="13" bestFit="1" customWidth="1"/>
    <col min="6169" max="6172" width="4.5703125" style="13" bestFit="1" customWidth="1"/>
    <col min="6173" max="6173" width="14.42578125" style="13" bestFit="1" customWidth="1"/>
    <col min="6174" max="6174" width="13.42578125" style="13" bestFit="1" customWidth="1"/>
    <col min="6175" max="6400" width="9.140625" style="13"/>
    <col min="6401" max="6401" width="29.85546875" style="13" bestFit="1" customWidth="1"/>
    <col min="6402" max="6402" width="11.85546875" style="13" bestFit="1" customWidth="1"/>
    <col min="6403" max="6403" width="11.85546875" style="13" customWidth="1"/>
    <col min="6404" max="6404" width="4.5703125" style="13" bestFit="1" customWidth="1"/>
    <col min="6405" max="6406" width="5.140625" style="13" bestFit="1" customWidth="1"/>
    <col min="6407" max="6407" width="4.5703125" style="13" bestFit="1" customWidth="1"/>
    <col min="6408" max="6408" width="5.140625" style="13" bestFit="1" customWidth="1"/>
    <col min="6409" max="6409" width="4" style="13" bestFit="1" customWidth="1"/>
    <col min="6410" max="6413" width="4.5703125" style="13" bestFit="1" customWidth="1"/>
    <col min="6414" max="6414" width="14.42578125" style="13" bestFit="1" customWidth="1"/>
    <col min="6415" max="6415" width="13.42578125" style="13" bestFit="1" customWidth="1"/>
    <col min="6416" max="6416" width="9.140625" style="13"/>
    <col min="6417" max="6417" width="49" style="13" bestFit="1" customWidth="1"/>
    <col min="6418" max="6418" width="11.85546875" style="13" bestFit="1" customWidth="1"/>
    <col min="6419" max="6423" width="4.5703125" style="13" bestFit="1" customWidth="1"/>
    <col min="6424" max="6424" width="4" style="13" bestFit="1" customWidth="1"/>
    <col min="6425" max="6428" width="4.5703125" style="13" bestFit="1" customWidth="1"/>
    <col min="6429" max="6429" width="14.42578125" style="13" bestFit="1" customWidth="1"/>
    <col min="6430" max="6430" width="13.42578125" style="13" bestFit="1" customWidth="1"/>
    <col min="6431" max="6656" width="9.140625" style="13"/>
    <col min="6657" max="6657" width="29.85546875" style="13" bestFit="1" customWidth="1"/>
    <col min="6658" max="6658" width="11.85546875" style="13" bestFit="1" customWidth="1"/>
    <col min="6659" max="6659" width="11.85546875" style="13" customWidth="1"/>
    <col min="6660" max="6660" width="4.5703125" style="13" bestFit="1" customWidth="1"/>
    <col min="6661" max="6662" width="5.140625" style="13" bestFit="1" customWidth="1"/>
    <col min="6663" max="6663" width="4.5703125" style="13" bestFit="1" customWidth="1"/>
    <col min="6664" max="6664" width="5.140625" style="13" bestFit="1" customWidth="1"/>
    <col min="6665" max="6665" width="4" style="13" bestFit="1" customWidth="1"/>
    <col min="6666" max="6669" width="4.5703125" style="13" bestFit="1" customWidth="1"/>
    <col min="6670" max="6670" width="14.42578125" style="13" bestFit="1" customWidth="1"/>
    <col min="6671" max="6671" width="13.42578125" style="13" bestFit="1" customWidth="1"/>
    <col min="6672" max="6672" width="9.140625" style="13"/>
    <col min="6673" max="6673" width="49" style="13" bestFit="1" customWidth="1"/>
    <col min="6674" max="6674" width="11.85546875" style="13" bestFit="1" customWidth="1"/>
    <col min="6675" max="6679" width="4.5703125" style="13" bestFit="1" customWidth="1"/>
    <col min="6680" max="6680" width="4" style="13" bestFit="1" customWidth="1"/>
    <col min="6681" max="6684" width="4.5703125" style="13" bestFit="1" customWidth="1"/>
    <col min="6685" max="6685" width="14.42578125" style="13" bestFit="1" customWidth="1"/>
    <col min="6686" max="6686" width="13.42578125" style="13" bestFit="1" customWidth="1"/>
    <col min="6687" max="6912" width="9.140625" style="13"/>
    <col min="6913" max="6913" width="29.85546875" style="13" bestFit="1" customWidth="1"/>
    <col min="6914" max="6914" width="11.85546875" style="13" bestFit="1" customWidth="1"/>
    <col min="6915" max="6915" width="11.85546875" style="13" customWidth="1"/>
    <col min="6916" max="6916" width="4.5703125" style="13" bestFit="1" customWidth="1"/>
    <col min="6917" max="6918" width="5.140625" style="13" bestFit="1" customWidth="1"/>
    <col min="6919" max="6919" width="4.5703125" style="13" bestFit="1" customWidth="1"/>
    <col min="6920" max="6920" width="5.140625" style="13" bestFit="1" customWidth="1"/>
    <col min="6921" max="6921" width="4" style="13" bestFit="1" customWidth="1"/>
    <col min="6922" max="6925" width="4.5703125" style="13" bestFit="1" customWidth="1"/>
    <col min="6926" max="6926" width="14.42578125" style="13" bestFit="1" customWidth="1"/>
    <col min="6927" max="6927" width="13.42578125" style="13" bestFit="1" customWidth="1"/>
    <col min="6928" max="6928" width="9.140625" style="13"/>
    <col min="6929" max="6929" width="49" style="13" bestFit="1" customWidth="1"/>
    <col min="6930" max="6930" width="11.85546875" style="13" bestFit="1" customWidth="1"/>
    <col min="6931" max="6935" width="4.5703125" style="13" bestFit="1" customWidth="1"/>
    <col min="6936" max="6936" width="4" style="13" bestFit="1" customWidth="1"/>
    <col min="6937" max="6940" width="4.5703125" style="13" bestFit="1" customWidth="1"/>
    <col min="6941" max="6941" width="14.42578125" style="13" bestFit="1" customWidth="1"/>
    <col min="6942" max="6942" width="13.42578125" style="13" bestFit="1" customWidth="1"/>
    <col min="6943" max="7168" width="9.140625" style="13"/>
    <col min="7169" max="7169" width="29.85546875" style="13" bestFit="1" customWidth="1"/>
    <col min="7170" max="7170" width="11.85546875" style="13" bestFit="1" customWidth="1"/>
    <col min="7171" max="7171" width="11.85546875" style="13" customWidth="1"/>
    <col min="7172" max="7172" width="4.5703125" style="13" bestFit="1" customWidth="1"/>
    <col min="7173" max="7174" width="5.140625" style="13" bestFit="1" customWidth="1"/>
    <col min="7175" max="7175" width="4.5703125" style="13" bestFit="1" customWidth="1"/>
    <col min="7176" max="7176" width="5.140625" style="13" bestFit="1" customWidth="1"/>
    <col min="7177" max="7177" width="4" style="13" bestFit="1" customWidth="1"/>
    <col min="7178" max="7181" width="4.5703125" style="13" bestFit="1" customWidth="1"/>
    <col min="7182" max="7182" width="14.42578125" style="13" bestFit="1" customWidth="1"/>
    <col min="7183" max="7183" width="13.42578125" style="13" bestFit="1" customWidth="1"/>
    <col min="7184" max="7184" width="9.140625" style="13"/>
    <col min="7185" max="7185" width="49" style="13" bestFit="1" customWidth="1"/>
    <col min="7186" max="7186" width="11.85546875" style="13" bestFit="1" customWidth="1"/>
    <col min="7187" max="7191" width="4.5703125" style="13" bestFit="1" customWidth="1"/>
    <col min="7192" max="7192" width="4" style="13" bestFit="1" customWidth="1"/>
    <col min="7193" max="7196" width="4.5703125" style="13" bestFit="1" customWidth="1"/>
    <col min="7197" max="7197" width="14.42578125" style="13" bestFit="1" customWidth="1"/>
    <col min="7198" max="7198" width="13.42578125" style="13" bestFit="1" customWidth="1"/>
    <col min="7199" max="7424" width="9.140625" style="13"/>
    <col min="7425" max="7425" width="29.85546875" style="13" bestFit="1" customWidth="1"/>
    <col min="7426" max="7426" width="11.85546875" style="13" bestFit="1" customWidth="1"/>
    <col min="7427" max="7427" width="11.85546875" style="13" customWidth="1"/>
    <col min="7428" max="7428" width="4.5703125" style="13" bestFit="1" customWidth="1"/>
    <col min="7429" max="7430" width="5.140625" style="13" bestFit="1" customWidth="1"/>
    <col min="7431" max="7431" width="4.5703125" style="13" bestFit="1" customWidth="1"/>
    <col min="7432" max="7432" width="5.140625" style="13" bestFit="1" customWidth="1"/>
    <col min="7433" max="7433" width="4" style="13" bestFit="1" customWidth="1"/>
    <col min="7434" max="7437" width="4.5703125" style="13" bestFit="1" customWidth="1"/>
    <col min="7438" max="7438" width="14.42578125" style="13" bestFit="1" customWidth="1"/>
    <col min="7439" max="7439" width="13.42578125" style="13" bestFit="1" customWidth="1"/>
    <col min="7440" max="7440" width="9.140625" style="13"/>
    <col min="7441" max="7441" width="49" style="13" bestFit="1" customWidth="1"/>
    <col min="7442" max="7442" width="11.85546875" style="13" bestFit="1" customWidth="1"/>
    <col min="7443" max="7447" width="4.5703125" style="13" bestFit="1" customWidth="1"/>
    <col min="7448" max="7448" width="4" style="13" bestFit="1" customWidth="1"/>
    <col min="7449" max="7452" width="4.5703125" style="13" bestFit="1" customWidth="1"/>
    <col min="7453" max="7453" width="14.42578125" style="13" bestFit="1" customWidth="1"/>
    <col min="7454" max="7454" width="13.42578125" style="13" bestFit="1" customWidth="1"/>
    <col min="7455" max="7680" width="9.140625" style="13"/>
    <col min="7681" max="7681" width="29.85546875" style="13" bestFit="1" customWidth="1"/>
    <col min="7682" max="7682" width="11.85546875" style="13" bestFit="1" customWidth="1"/>
    <col min="7683" max="7683" width="11.85546875" style="13" customWidth="1"/>
    <col min="7684" max="7684" width="4.5703125" style="13" bestFit="1" customWidth="1"/>
    <col min="7685" max="7686" width="5.140625" style="13" bestFit="1" customWidth="1"/>
    <col min="7687" max="7687" width="4.5703125" style="13" bestFit="1" customWidth="1"/>
    <col min="7688" max="7688" width="5.140625" style="13" bestFit="1" customWidth="1"/>
    <col min="7689" max="7689" width="4" style="13" bestFit="1" customWidth="1"/>
    <col min="7690" max="7693" width="4.5703125" style="13" bestFit="1" customWidth="1"/>
    <col min="7694" max="7694" width="14.42578125" style="13" bestFit="1" customWidth="1"/>
    <col min="7695" max="7695" width="13.42578125" style="13" bestFit="1" customWidth="1"/>
    <col min="7696" max="7696" width="9.140625" style="13"/>
    <col min="7697" max="7697" width="49" style="13" bestFit="1" customWidth="1"/>
    <col min="7698" max="7698" width="11.85546875" style="13" bestFit="1" customWidth="1"/>
    <col min="7699" max="7703" width="4.5703125" style="13" bestFit="1" customWidth="1"/>
    <col min="7704" max="7704" width="4" style="13" bestFit="1" customWidth="1"/>
    <col min="7705" max="7708" width="4.5703125" style="13" bestFit="1" customWidth="1"/>
    <col min="7709" max="7709" width="14.42578125" style="13" bestFit="1" customWidth="1"/>
    <col min="7710" max="7710" width="13.42578125" style="13" bestFit="1" customWidth="1"/>
    <col min="7711" max="7936" width="9.140625" style="13"/>
    <col min="7937" max="7937" width="29.85546875" style="13" bestFit="1" customWidth="1"/>
    <col min="7938" max="7938" width="11.85546875" style="13" bestFit="1" customWidth="1"/>
    <col min="7939" max="7939" width="11.85546875" style="13" customWidth="1"/>
    <col min="7940" max="7940" width="4.5703125" style="13" bestFit="1" customWidth="1"/>
    <col min="7941" max="7942" width="5.140625" style="13" bestFit="1" customWidth="1"/>
    <col min="7943" max="7943" width="4.5703125" style="13" bestFit="1" customWidth="1"/>
    <col min="7944" max="7944" width="5.140625" style="13" bestFit="1" customWidth="1"/>
    <col min="7945" max="7945" width="4" style="13" bestFit="1" customWidth="1"/>
    <col min="7946" max="7949" width="4.5703125" style="13" bestFit="1" customWidth="1"/>
    <col min="7950" max="7950" width="14.42578125" style="13" bestFit="1" customWidth="1"/>
    <col min="7951" max="7951" width="13.42578125" style="13" bestFit="1" customWidth="1"/>
    <col min="7952" max="7952" width="9.140625" style="13"/>
    <col min="7953" max="7953" width="49" style="13" bestFit="1" customWidth="1"/>
    <col min="7954" max="7954" width="11.85546875" style="13" bestFit="1" customWidth="1"/>
    <col min="7955" max="7959" width="4.5703125" style="13" bestFit="1" customWidth="1"/>
    <col min="7960" max="7960" width="4" style="13" bestFit="1" customWidth="1"/>
    <col min="7961" max="7964" width="4.5703125" style="13" bestFit="1" customWidth="1"/>
    <col min="7965" max="7965" width="14.42578125" style="13" bestFit="1" customWidth="1"/>
    <col min="7966" max="7966" width="13.42578125" style="13" bestFit="1" customWidth="1"/>
    <col min="7967" max="8192" width="9.140625" style="13"/>
    <col min="8193" max="8193" width="29.85546875" style="13" bestFit="1" customWidth="1"/>
    <col min="8194" max="8194" width="11.85546875" style="13" bestFit="1" customWidth="1"/>
    <col min="8195" max="8195" width="11.85546875" style="13" customWidth="1"/>
    <col min="8196" max="8196" width="4.5703125" style="13" bestFit="1" customWidth="1"/>
    <col min="8197" max="8198" width="5.140625" style="13" bestFit="1" customWidth="1"/>
    <col min="8199" max="8199" width="4.5703125" style="13" bestFit="1" customWidth="1"/>
    <col min="8200" max="8200" width="5.140625" style="13" bestFit="1" customWidth="1"/>
    <col min="8201" max="8201" width="4" style="13" bestFit="1" customWidth="1"/>
    <col min="8202" max="8205" width="4.5703125" style="13" bestFit="1" customWidth="1"/>
    <col min="8206" max="8206" width="14.42578125" style="13" bestFit="1" customWidth="1"/>
    <col min="8207" max="8207" width="13.42578125" style="13" bestFit="1" customWidth="1"/>
    <col min="8208" max="8208" width="9.140625" style="13"/>
    <col min="8209" max="8209" width="49" style="13" bestFit="1" customWidth="1"/>
    <col min="8210" max="8210" width="11.85546875" style="13" bestFit="1" customWidth="1"/>
    <col min="8211" max="8215" width="4.5703125" style="13" bestFit="1" customWidth="1"/>
    <col min="8216" max="8216" width="4" style="13" bestFit="1" customWidth="1"/>
    <col min="8217" max="8220" width="4.5703125" style="13" bestFit="1" customWidth="1"/>
    <col min="8221" max="8221" width="14.42578125" style="13" bestFit="1" customWidth="1"/>
    <col min="8222" max="8222" width="13.42578125" style="13" bestFit="1" customWidth="1"/>
    <col min="8223" max="8448" width="9.140625" style="13"/>
    <col min="8449" max="8449" width="29.85546875" style="13" bestFit="1" customWidth="1"/>
    <col min="8450" max="8450" width="11.85546875" style="13" bestFit="1" customWidth="1"/>
    <col min="8451" max="8451" width="11.85546875" style="13" customWidth="1"/>
    <col min="8452" max="8452" width="4.5703125" style="13" bestFit="1" customWidth="1"/>
    <col min="8453" max="8454" width="5.140625" style="13" bestFit="1" customWidth="1"/>
    <col min="8455" max="8455" width="4.5703125" style="13" bestFit="1" customWidth="1"/>
    <col min="8456" max="8456" width="5.140625" style="13" bestFit="1" customWidth="1"/>
    <col min="8457" max="8457" width="4" style="13" bestFit="1" customWidth="1"/>
    <col min="8458" max="8461" width="4.5703125" style="13" bestFit="1" customWidth="1"/>
    <col min="8462" max="8462" width="14.42578125" style="13" bestFit="1" customWidth="1"/>
    <col min="8463" max="8463" width="13.42578125" style="13" bestFit="1" customWidth="1"/>
    <col min="8464" max="8464" width="9.140625" style="13"/>
    <col min="8465" max="8465" width="49" style="13" bestFit="1" customWidth="1"/>
    <col min="8466" max="8466" width="11.85546875" style="13" bestFit="1" customWidth="1"/>
    <col min="8467" max="8471" width="4.5703125" style="13" bestFit="1" customWidth="1"/>
    <col min="8472" max="8472" width="4" style="13" bestFit="1" customWidth="1"/>
    <col min="8473" max="8476" width="4.5703125" style="13" bestFit="1" customWidth="1"/>
    <col min="8477" max="8477" width="14.42578125" style="13" bestFit="1" customWidth="1"/>
    <col min="8478" max="8478" width="13.42578125" style="13" bestFit="1" customWidth="1"/>
    <col min="8479" max="8704" width="9.140625" style="13"/>
    <col min="8705" max="8705" width="29.85546875" style="13" bestFit="1" customWidth="1"/>
    <col min="8706" max="8706" width="11.85546875" style="13" bestFit="1" customWidth="1"/>
    <col min="8707" max="8707" width="11.85546875" style="13" customWidth="1"/>
    <col min="8708" max="8708" width="4.5703125" style="13" bestFit="1" customWidth="1"/>
    <col min="8709" max="8710" width="5.140625" style="13" bestFit="1" customWidth="1"/>
    <col min="8711" max="8711" width="4.5703125" style="13" bestFit="1" customWidth="1"/>
    <col min="8712" max="8712" width="5.140625" style="13" bestFit="1" customWidth="1"/>
    <col min="8713" max="8713" width="4" style="13" bestFit="1" customWidth="1"/>
    <col min="8714" max="8717" width="4.5703125" style="13" bestFit="1" customWidth="1"/>
    <col min="8718" max="8718" width="14.42578125" style="13" bestFit="1" customWidth="1"/>
    <col min="8719" max="8719" width="13.42578125" style="13" bestFit="1" customWidth="1"/>
    <col min="8720" max="8720" width="9.140625" style="13"/>
    <col min="8721" max="8721" width="49" style="13" bestFit="1" customWidth="1"/>
    <col min="8722" max="8722" width="11.85546875" style="13" bestFit="1" customWidth="1"/>
    <col min="8723" max="8727" width="4.5703125" style="13" bestFit="1" customWidth="1"/>
    <col min="8728" max="8728" width="4" style="13" bestFit="1" customWidth="1"/>
    <col min="8729" max="8732" width="4.5703125" style="13" bestFit="1" customWidth="1"/>
    <col min="8733" max="8733" width="14.42578125" style="13" bestFit="1" customWidth="1"/>
    <col min="8734" max="8734" width="13.42578125" style="13" bestFit="1" customWidth="1"/>
    <col min="8735" max="8960" width="9.140625" style="13"/>
    <col min="8961" max="8961" width="29.85546875" style="13" bestFit="1" customWidth="1"/>
    <col min="8962" max="8962" width="11.85546875" style="13" bestFit="1" customWidth="1"/>
    <col min="8963" max="8963" width="11.85546875" style="13" customWidth="1"/>
    <col min="8964" max="8964" width="4.5703125" style="13" bestFit="1" customWidth="1"/>
    <col min="8965" max="8966" width="5.140625" style="13" bestFit="1" customWidth="1"/>
    <col min="8967" max="8967" width="4.5703125" style="13" bestFit="1" customWidth="1"/>
    <col min="8968" max="8968" width="5.140625" style="13" bestFit="1" customWidth="1"/>
    <col min="8969" max="8969" width="4" style="13" bestFit="1" customWidth="1"/>
    <col min="8970" max="8973" width="4.5703125" style="13" bestFit="1" customWidth="1"/>
    <col min="8974" max="8974" width="14.42578125" style="13" bestFit="1" customWidth="1"/>
    <col min="8975" max="8975" width="13.42578125" style="13" bestFit="1" customWidth="1"/>
    <col min="8976" max="8976" width="9.140625" style="13"/>
    <col min="8977" max="8977" width="49" style="13" bestFit="1" customWidth="1"/>
    <col min="8978" max="8978" width="11.85546875" style="13" bestFit="1" customWidth="1"/>
    <col min="8979" max="8983" width="4.5703125" style="13" bestFit="1" customWidth="1"/>
    <col min="8984" max="8984" width="4" style="13" bestFit="1" customWidth="1"/>
    <col min="8985" max="8988" width="4.5703125" style="13" bestFit="1" customWidth="1"/>
    <col min="8989" max="8989" width="14.42578125" style="13" bestFit="1" customWidth="1"/>
    <col min="8990" max="8990" width="13.42578125" style="13" bestFit="1" customWidth="1"/>
    <col min="8991" max="9216" width="9.140625" style="13"/>
    <col min="9217" max="9217" width="29.85546875" style="13" bestFit="1" customWidth="1"/>
    <col min="9218" max="9218" width="11.85546875" style="13" bestFit="1" customWidth="1"/>
    <col min="9219" max="9219" width="11.85546875" style="13" customWidth="1"/>
    <col min="9220" max="9220" width="4.5703125" style="13" bestFit="1" customWidth="1"/>
    <col min="9221" max="9222" width="5.140625" style="13" bestFit="1" customWidth="1"/>
    <col min="9223" max="9223" width="4.5703125" style="13" bestFit="1" customWidth="1"/>
    <col min="9224" max="9224" width="5.140625" style="13" bestFit="1" customWidth="1"/>
    <col min="9225" max="9225" width="4" style="13" bestFit="1" customWidth="1"/>
    <col min="9226" max="9229" width="4.5703125" style="13" bestFit="1" customWidth="1"/>
    <col min="9230" max="9230" width="14.42578125" style="13" bestFit="1" customWidth="1"/>
    <col min="9231" max="9231" width="13.42578125" style="13" bestFit="1" customWidth="1"/>
    <col min="9232" max="9232" width="9.140625" style="13"/>
    <col min="9233" max="9233" width="49" style="13" bestFit="1" customWidth="1"/>
    <col min="9234" max="9234" width="11.85546875" style="13" bestFit="1" customWidth="1"/>
    <col min="9235" max="9239" width="4.5703125" style="13" bestFit="1" customWidth="1"/>
    <col min="9240" max="9240" width="4" style="13" bestFit="1" customWidth="1"/>
    <col min="9241" max="9244" width="4.5703125" style="13" bestFit="1" customWidth="1"/>
    <col min="9245" max="9245" width="14.42578125" style="13" bestFit="1" customWidth="1"/>
    <col min="9246" max="9246" width="13.42578125" style="13" bestFit="1" customWidth="1"/>
    <col min="9247" max="9472" width="9.140625" style="13"/>
    <col min="9473" max="9473" width="29.85546875" style="13" bestFit="1" customWidth="1"/>
    <col min="9474" max="9474" width="11.85546875" style="13" bestFit="1" customWidth="1"/>
    <col min="9475" max="9475" width="11.85546875" style="13" customWidth="1"/>
    <col min="9476" max="9476" width="4.5703125" style="13" bestFit="1" customWidth="1"/>
    <col min="9477" max="9478" width="5.140625" style="13" bestFit="1" customWidth="1"/>
    <col min="9479" max="9479" width="4.5703125" style="13" bestFit="1" customWidth="1"/>
    <col min="9480" max="9480" width="5.140625" style="13" bestFit="1" customWidth="1"/>
    <col min="9481" max="9481" width="4" style="13" bestFit="1" customWidth="1"/>
    <col min="9482" max="9485" width="4.5703125" style="13" bestFit="1" customWidth="1"/>
    <col min="9486" max="9486" width="14.42578125" style="13" bestFit="1" customWidth="1"/>
    <col min="9487" max="9487" width="13.42578125" style="13" bestFit="1" customWidth="1"/>
    <col min="9488" max="9488" width="9.140625" style="13"/>
    <col min="9489" max="9489" width="49" style="13" bestFit="1" customWidth="1"/>
    <col min="9490" max="9490" width="11.85546875" style="13" bestFit="1" customWidth="1"/>
    <col min="9491" max="9495" width="4.5703125" style="13" bestFit="1" customWidth="1"/>
    <col min="9496" max="9496" width="4" style="13" bestFit="1" customWidth="1"/>
    <col min="9497" max="9500" width="4.5703125" style="13" bestFit="1" customWidth="1"/>
    <col min="9501" max="9501" width="14.42578125" style="13" bestFit="1" customWidth="1"/>
    <col min="9502" max="9502" width="13.42578125" style="13" bestFit="1" customWidth="1"/>
    <col min="9503" max="9728" width="9.140625" style="13"/>
    <col min="9729" max="9729" width="29.85546875" style="13" bestFit="1" customWidth="1"/>
    <col min="9730" max="9730" width="11.85546875" style="13" bestFit="1" customWidth="1"/>
    <col min="9731" max="9731" width="11.85546875" style="13" customWidth="1"/>
    <col min="9732" max="9732" width="4.5703125" style="13" bestFit="1" customWidth="1"/>
    <col min="9733" max="9734" width="5.140625" style="13" bestFit="1" customWidth="1"/>
    <col min="9735" max="9735" width="4.5703125" style="13" bestFit="1" customWidth="1"/>
    <col min="9736" max="9736" width="5.140625" style="13" bestFit="1" customWidth="1"/>
    <col min="9737" max="9737" width="4" style="13" bestFit="1" customWidth="1"/>
    <col min="9738" max="9741" width="4.5703125" style="13" bestFit="1" customWidth="1"/>
    <col min="9742" max="9742" width="14.42578125" style="13" bestFit="1" customWidth="1"/>
    <col min="9743" max="9743" width="13.42578125" style="13" bestFit="1" customWidth="1"/>
    <col min="9744" max="9744" width="9.140625" style="13"/>
    <col min="9745" max="9745" width="49" style="13" bestFit="1" customWidth="1"/>
    <col min="9746" max="9746" width="11.85546875" style="13" bestFit="1" customWidth="1"/>
    <col min="9747" max="9751" width="4.5703125" style="13" bestFit="1" customWidth="1"/>
    <col min="9752" max="9752" width="4" style="13" bestFit="1" customWidth="1"/>
    <col min="9753" max="9756" width="4.5703125" style="13" bestFit="1" customWidth="1"/>
    <col min="9757" max="9757" width="14.42578125" style="13" bestFit="1" customWidth="1"/>
    <col min="9758" max="9758" width="13.42578125" style="13" bestFit="1" customWidth="1"/>
    <col min="9759" max="9984" width="9.140625" style="13"/>
    <col min="9985" max="9985" width="29.85546875" style="13" bestFit="1" customWidth="1"/>
    <col min="9986" max="9986" width="11.85546875" style="13" bestFit="1" customWidth="1"/>
    <col min="9987" max="9987" width="11.85546875" style="13" customWidth="1"/>
    <col min="9988" max="9988" width="4.5703125" style="13" bestFit="1" customWidth="1"/>
    <col min="9989" max="9990" width="5.140625" style="13" bestFit="1" customWidth="1"/>
    <col min="9991" max="9991" width="4.5703125" style="13" bestFit="1" customWidth="1"/>
    <col min="9992" max="9992" width="5.140625" style="13" bestFit="1" customWidth="1"/>
    <col min="9993" max="9993" width="4" style="13" bestFit="1" customWidth="1"/>
    <col min="9994" max="9997" width="4.5703125" style="13" bestFit="1" customWidth="1"/>
    <col min="9998" max="9998" width="14.42578125" style="13" bestFit="1" customWidth="1"/>
    <col min="9999" max="9999" width="13.42578125" style="13" bestFit="1" customWidth="1"/>
    <col min="10000" max="10000" width="9.140625" style="13"/>
    <col min="10001" max="10001" width="49" style="13" bestFit="1" customWidth="1"/>
    <col min="10002" max="10002" width="11.85546875" style="13" bestFit="1" customWidth="1"/>
    <col min="10003" max="10007" width="4.5703125" style="13" bestFit="1" customWidth="1"/>
    <col min="10008" max="10008" width="4" style="13" bestFit="1" customWidth="1"/>
    <col min="10009" max="10012" width="4.5703125" style="13" bestFit="1" customWidth="1"/>
    <col min="10013" max="10013" width="14.42578125" style="13" bestFit="1" customWidth="1"/>
    <col min="10014" max="10014" width="13.42578125" style="13" bestFit="1" customWidth="1"/>
    <col min="10015" max="10240" width="9.140625" style="13"/>
    <col min="10241" max="10241" width="29.85546875" style="13" bestFit="1" customWidth="1"/>
    <col min="10242" max="10242" width="11.85546875" style="13" bestFit="1" customWidth="1"/>
    <col min="10243" max="10243" width="11.85546875" style="13" customWidth="1"/>
    <col min="10244" max="10244" width="4.5703125" style="13" bestFit="1" customWidth="1"/>
    <col min="10245" max="10246" width="5.140625" style="13" bestFit="1" customWidth="1"/>
    <col min="10247" max="10247" width="4.5703125" style="13" bestFit="1" customWidth="1"/>
    <col min="10248" max="10248" width="5.140625" style="13" bestFit="1" customWidth="1"/>
    <col min="10249" max="10249" width="4" style="13" bestFit="1" customWidth="1"/>
    <col min="10250" max="10253" width="4.5703125" style="13" bestFit="1" customWidth="1"/>
    <col min="10254" max="10254" width="14.42578125" style="13" bestFit="1" customWidth="1"/>
    <col min="10255" max="10255" width="13.42578125" style="13" bestFit="1" customWidth="1"/>
    <col min="10256" max="10256" width="9.140625" style="13"/>
    <col min="10257" max="10257" width="49" style="13" bestFit="1" customWidth="1"/>
    <col min="10258" max="10258" width="11.85546875" style="13" bestFit="1" customWidth="1"/>
    <col min="10259" max="10263" width="4.5703125" style="13" bestFit="1" customWidth="1"/>
    <col min="10264" max="10264" width="4" style="13" bestFit="1" customWidth="1"/>
    <col min="10265" max="10268" width="4.5703125" style="13" bestFit="1" customWidth="1"/>
    <col min="10269" max="10269" width="14.42578125" style="13" bestFit="1" customWidth="1"/>
    <col min="10270" max="10270" width="13.42578125" style="13" bestFit="1" customWidth="1"/>
    <col min="10271" max="10496" width="9.140625" style="13"/>
    <col min="10497" max="10497" width="29.85546875" style="13" bestFit="1" customWidth="1"/>
    <col min="10498" max="10498" width="11.85546875" style="13" bestFit="1" customWidth="1"/>
    <col min="10499" max="10499" width="11.85546875" style="13" customWidth="1"/>
    <col min="10500" max="10500" width="4.5703125" style="13" bestFit="1" customWidth="1"/>
    <col min="10501" max="10502" width="5.140625" style="13" bestFit="1" customWidth="1"/>
    <col min="10503" max="10503" width="4.5703125" style="13" bestFit="1" customWidth="1"/>
    <col min="10504" max="10504" width="5.140625" style="13" bestFit="1" customWidth="1"/>
    <col min="10505" max="10505" width="4" style="13" bestFit="1" customWidth="1"/>
    <col min="10506" max="10509" width="4.5703125" style="13" bestFit="1" customWidth="1"/>
    <col min="10510" max="10510" width="14.42578125" style="13" bestFit="1" customWidth="1"/>
    <col min="10511" max="10511" width="13.42578125" style="13" bestFit="1" customWidth="1"/>
    <col min="10512" max="10512" width="9.140625" style="13"/>
    <col min="10513" max="10513" width="49" style="13" bestFit="1" customWidth="1"/>
    <col min="10514" max="10514" width="11.85546875" style="13" bestFit="1" customWidth="1"/>
    <col min="10515" max="10519" width="4.5703125" style="13" bestFit="1" customWidth="1"/>
    <col min="10520" max="10520" width="4" style="13" bestFit="1" customWidth="1"/>
    <col min="10521" max="10524" width="4.5703125" style="13" bestFit="1" customWidth="1"/>
    <col min="10525" max="10525" width="14.42578125" style="13" bestFit="1" customWidth="1"/>
    <col min="10526" max="10526" width="13.42578125" style="13" bestFit="1" customWidth="1"/>
    <col min="10527" max="10752" width="9.140625" style="13"/>
    <col min="10753" max="10753" width="29.85546875" style="13" bestFit="1" customWidth="1"/>
    <col min="10754" max="10754" width="11.85546875" style="13" bestFit="1" customWidth="1"/>
    <col min="10755" max="10755" width="11.85546875" style="13" customWidth="1"/>
    <col min="10756" max="10756" width="4.5703125" style="13" bestFit="1" customWidth="1"/>
    <col min="10757" max="10758" width="5.140625" style="13" bestFit="1" customWidth="1"/>
    <col min="10759" max="10759" width="4.5703125" style="13" bestFit="1" customWidth="1"/>
    <col min="10760" max="10760" width="5.140625" style="13" bestFit="1" customWidth="1"/>
    <col min="10761" max="10761" width="4" style="13" bestFit="1" customWidth="1"/>
    <col min="10762" max="10765" width="4.5703125" style="13" bestFit="1" customWidth="1"/>
    <col min="10766" max="10766" width="14.42578125" style="13" bestFit="1" customWidth="1"/>
    <col min="10767" max="10767" width="13.42578125" style="13" bestFit="1" customWidth="1"/>
    <col min="10768" max="10768" width="9.140625" style="13"/>
    <col min="10769" max="10769" width="49" style="13" bestFit="1" customWidth="1"/>
    <col min="10770" max="10770" width="11.85546875" style="13" bestFit="1" customWidth="1"/>
    <col min="10771" max="10775" width="4.5703125" style="13" bestFit="1" customWidth="1"/>
    <col min="10776" max="10776" width="4" style="13" bestFit="1" customWidth="1"/>
    <col min="10777" max="10780" width="4.5703125" style="13" bestFit="1" customWidth="1"/>
    <col min="10781" max="10781" width="14.42578125" style="13" bestFit="1" customWidth="1"/>
    <col min="10782" max="10782" width="13.42578125" style="13" bestFit="1" customWidth="1"/>
    <col min="10783" max="11008" width="9.140625" style="13"/>
    <col min="11009" max="11009" width="29.85546875" style="13" bestFit="1" customWidth="1"/>
    <col min="11010" max="11010" width="11.85546875" style="13" bestFit="1" customWidth="1"/>
    <col min="11011" max="11011" width="11.85546875" style="13" customWidth="1"/>
    <col min="11012" max="11012" width="4.5703125" style="13" bestFit="1" customWidth="1"/>
    <col min="11013" max="11014" width="5.140625" style="13" bestFit="1" customWidth="1"/>
    <col min="11015" max="11015" width="4.5703125" style="13" bestFit="1" customWidth="1"/>
    <col min="11016" max="11016" width="5.140625" style="13" bestFit="1" customWidth="1"/>
    <col min="11017" max="11017" width="4" style="13" bestFit="1" customWidth="1"/>
    <col min="11018" max="11021" width="4.5703125" style="13" bestFit="1" customWidth="1"/>
    <col min="11022" max="11022" width="14.42578125" style="13" bestFit="1" customWidth="1"/>
    <col min="11023" max="11023" width="13.42578125" style="13" bestFit="1" customWidth="1"/>
    <col min="11024" max="11024" width="9.140625" style="13"/>
    <col min="11025" max="11025" width="49" style="13" bestFit="1" customWidth="1"/>
    <col min="11026" max="11026" width="11.85546875" style="13" bestFit="1" customWidth="1"/>
    <col min="11027" max="11031" width="4.5703125" style="13" bestFit="1" customWidth="1"/>
    <col min="11032" max="11032" width="4" style="13" bestFit="1" customWidth="1"/>
    <col min="11033" max="11036" width="4.5703125" style="13" bestFit="1" customWidth="1"/>
    <col min="11037" max="11037" width="14.42578125" style="13" bestFit="1" customWidth="1"/>
    <col min="11038" max="11038" width="13.42578125" style="13" bestFit="1" customWidth="1"/>
    <col min="11039" max="11264" width="9.140625" style="13"/>
    <col min="11265" max="11265" width="29.85546875" style="13" bestFit="1" customWidth="1"/>
    <col min="11266" max="11266" width="11.85546875" style="13" bestFit="1" customWidth="1"/>
    <col min="11267" max="11267" width="11.85546875" style="13" customWidth="1"/>
    <col min="11268" max="11268" width="4.5703125" style="13" bestFit="1" customWidth="1"/>
    <col min="11269" max="11270" width="5.140625" style="13" bestFit="1" customWidth="1"/>
    <col min="11271" max="11271" width="4.5703125" style="13" bestFit="1" customWidth="1"/>
    <col min="11272" max="11272" width="5.140625" style="13" bestFit="1" customWidth="1"/>
    <col min="11273" max="11273" width="4" style="13" bestFit="1" customWidth="1"/>
    <col min="11274" max="11277" width="4.5703125" style="13" bestFit="1" customWidth="1"/>
    <col min="11278" max="11278" width="14.42578125" style="13" bestFit="1" customWidth="1"/>
    <col min="11279" max="11279" width="13.42578125" style="13" bestFit="1" customWidth="1"/>
    <col min="11280" max="11280" width="9.140625" style="13"/>
    <col min="11281" max="11281" width="49" style="13" bestFit="1" customWidth="1"/>
    <col min="11282" max="11282" width="11.85546875" style="13" bestFit="1" customWidth="1"/>
    <col min="11283" max="11287" width="4.5703125" style="13" bestFit="1" customWidth="1"/>
    <col min="11288" max="11288" width="4" style="13" bestFit="1" customWidth="1"/>
    <col min="11289" max="11292" width="4.5703125" style="13" bestFit="1" customWidth="1"/>
    <col min="11293" max="11293" width="14.42578125" style="13" bestFit="1" customWidth="1"/>
    <col min="11294" max="11294" width="13.42578125" style="13" bestFit="1" customWidth="1"/>
    <col min="11295" max="11520" width="9.140625" style="13"/>
    <col min="11521" max="11521" width="29.85546875" style="13" bestFit="1" customWidth="1"/>
    <col min="11522" max="11522" width="11.85546875" style="13" bestFit="1" customWidth="1"/>
    <col min="11523" max="11523" width="11.85546875" style="13" customWidth="1"/>
    <col min="11524" max="11524" width="4.5703125" style="13" bestFit="1" customWidth="1"/>
    <col min="11525" max="11526" width="5.140625" style="13" bestFit="1" customWidth="1"/>
    <col min="11527" max="11527" width="4.5703125" style="13" bestFit="1" customWidth="1"/>
    <col min="11528" max="11528" width="5.140625" style="13" bestFit="1" customWidth="1"/>
    <col min="11529" max="11529" width="4" style="13" bestFit="1" customWidth="1"/>
    <col min="11530" max="11533" width="4.5703125" style="13" bestFit="1" customWidth="1"/>
    <col min="11534" max="11534" width="14.42578125" style="13" bestFit="1" customWidth="1"/>
    <col min="11535" max="11535" width="13.42578125" style="13" bestFit="1" customWidth="1"/>
    <col min="11536" max="11536" width="9.140625" style="13"/>
    <col min="11537" max="11537" width="49" style="13" bestFit="1" customWidth="1"/>
    <col min="11538" max="11538" width="11.85546875" style="13" bestFit="1" customWidth="1"/>
    <col min="11539" max="11543" width="4.5703125" style="13" bestFit="1" customWidth="1"/>
    <col min="11544" max="11544" width="4" style="13" bestFit="1" customWidth="1"/>
    <col min="11545" max="11548" width="4.5703125" style="13" bestFit="1" customWidth="1"/>
    <col min="11549" max="11549" width="14.42578125" style="13" bestFit="1" customWidth="1"/>
    <col min="11550" max="11550" width="13.42578125" style="13" bestFit="1" customWidth="1"/>
    <col min="11551" max="11776" width="9.140625" style="13"/>
    <col min="11777" max="11777" width="29.85546875" style="13" bestFit="1" customWidth="1"/>
    <col min="11778" max="11778" width="11.85546875" style="13" bestFit="1" customWidth="1"/>
    <col min="11779" max="11779" width="11.85546875" style="13" customWidth="1"/>
    <col min="11780" max="11780" width="4.5703125" style="13" bestFit="1" customWidth="1"/>
    <col min="11781" max="11782" width="5.140625" style="13" bestFit="1" customWidth="1"/>
    <col min="11783" max="11783" width="4.5703125" style="13" bestFit="1" customWidth="1"/>
    <col min="11784" max="11784" width="5.140625" style="13" bestFit="1" customWidth="1"/>
    <col min="11785" max="11785" width="4" style="13" bestFit="1" customWidth="1"/>
    <col min="11786" max="11789" width="4.5703125" style="13" bestFit="1" customWidth="1"/>
    <col min="11790" max="11790" width="14.42578125" style="13" bestFit="1" customWidth="1"/>
    <col min="11791" max="11791" width="13.42578125" style="13" bestFit="1" customWidth="1"/>
    <col min="11792" max="11792" width="9.140625" style="13"/>
    <col min="11793" max="11793" width="49" style="13" bestFit="1" customWidth="1"/>
    <col min="11794" max="11794" width="11.85546875" style="13" bestFit="1" customWidth="1"/>
    <col min="11795" max="11799" width="4.5703125" style="13" bestFit="1" customWidth="1"/>
    <col min="11800" max="11800" width="4" style="13" bestFit="1" customWidth="1"/>
    <col min="11801" max="11804" width="4.5703125" style="13" bestFit="1" customWidth="1"/>
    <col min="11805" max="11805" width="14.42578125" style="13" bestFit="1" customWidth="1"/>
    <col min="11806" max="11806" width="13.42578125" style="13" bestFit="1" customWidth="1"/>
    <col min="11807" max="12032" width="9.140625" style="13"/>
    <col min="12033" max="12033" width="29.85546875" style="13" bestFit="1" customWidth="1"/>
    <col min="12034" max="12034" width="11.85546875" style="13" bestFit="1" customWidth="1"/>
    <col min="12035" max="12035" width="11.85546875" style="13" customWidth="1"/>
    <col min="12036" max="12036" width="4.5703125" style="13" bestFit="1" customWidth="1"/>
    <col min="12037" max="12038" width="5.140625" style="13" bestFit="1" customWidth="1"/>
    <col min="12039" max="12039" width="4.5703125" style="13" bestFit="1" customWidth="1"/>
    <col min="12040" max="12040" width="5.140625" style="13" bestFit="1" customWidth="1"/>
    <col min="12041" max="12041" width="4" style="13" bestFit="1" customWidth="1"/>
    <col min="12042" max="12045" width="4.5703125" style="13" bestFit="1" customWidth="1"/>
    <col min="12046" max="12046" width="14.42578125" style="13" bestFit="1" customWidth="1"/>
    <col min="12047" max="12047" width="13.42578125" style="13" bestFit="1" customWidth="1"/>
    <col min="12048" max="12048" width="9.140625" style="13"/>
    <col min="12049" max="12049" width="49" style="13" bestFit="1" customWidth="1"/>
    <col min="12050" max="12050" width="11.85546875" style="13" bestFit="1" customWidth="1"/>
    <col min="12051" max="12055" width="4.5703125" style="13" bestFit="1" customWidth="1"/>
    <col min="12056" max="12056" width="4" style="13" bestFit="1" customWidth="1"/>
    <col min="12057" max="12060" width="4.5703125" style="13" bestFit="1" customWidth="1"/>
    <col min="12061" max="12061" width="14.42578125" style="13" bestFit="1" customWidth="1"/>
    <col min="12062" max="12062" width="13.42578125" style="13" bestFit="1" customWidth="1"/>
    <col min="12063" max="12288" width="9.140625" style="13"/>
    <col min="12289" max="12289" width="29.85546875" style="13" bestFit="1" customWidth="1"/>
    <col min="12290" max="12290" width="11.85546875" style="13" bestFit="1" customWidth="1"/>
    <col min="12291" max="12291" width="11.85546875" style="13" customWidth="1"/>
    <col min="12292" max="12292" width="4.5703125" style="13" bestFit="1" customWidth="1"/>
    <col min="12293" max="12294" width="5.140625" style="13" bestFit="1" customWidth="1"/>
    <col min="12295" max="12295" width="4.5703125" style="13" bestFit="1" customWidth="1"/>
    <col min="12296" max="12296" width="5.140625" style="13" bestFit="1" customWidth="1"/>
    <col min="12297" max="12297" width="4" style="13" bestFit="1" customWidth="1"/>
    <col min="12298" max="12301" width="4.5703125" style="13" bestFit="1" customWidth="1"/>
    <col min="12302" max="12302" width="14.42578125" style="13" bestFit="1" customWidth="1"/>
    <col min="12303" max="12303" width="13.42578125" style="13" bestFit="1" customWidth="1"/>
    <col min="12304" max="12304" width="9.140625" style="13"/>
    <col min="12305" max="12305" width="49" style="13" bestFit="1" customWidth="1"/>
    <col min="12306" max="12306" width="11.85546875" style="13" bestFit="1" customWidth="1"/>
    <col min="12307" max="12311" width="4.5703125" style="13" bestFit="1" customWidth="1"/>
    <col min="12312" max="12312" width="4" style="13" bestFit="1" customWidth="1"/>
    <col min="12313" max="12316" width="4.5703125" style="13" bestFit="1" customWidth="1"/>
    <col min="12317" max="12317" width="14.42578125" style="13" bestFit="1" customWidth="1"/>
    <col min="12318" max="12318" width="13.42578125" style="13" bestFit="1" customWidth="1"/>
    <col min="12319" max="12544" width="9.140625" style="13"/>
    <col min="12545" max="12545" width="29.85546875" style="13" bestFit="1" customWidth="1"/>
    <col min="12546" max="12546" width="11.85546875" style="13" bestFit="1" customWidth="1"/>
    <col min="12547" max="12547" width="11.85546875" style="13" customWidth="1"/>
    <col min="12548" max="12548" width="4.5703125" style="13" bestFit="1" customWidth="1"/>
    <col min="12549" max="12550" width="5.140625" style="13" bestFit="1" customWidth="1"/>
    <col min="12551" max="12551" width="4.5703125" style="13" bestFit="1" customWidth="1"/>
    <col min="12552" max="12552" width="5.140625" style="13" bestFit="1" customWidth="1"/>
    <col min="12553" max="12553" width="4" style="13" bestFit="1" customWidth="1"/>
    <col min="12554" max="12557" width="4.5703125" style="13" bestFit="1" customWidth="1"/>
    <col min="12558" max="12558" width="14.42578125" style="13" bestFit="1" customWidth="1"/>
    <col min="12559" max="12559" width="13.42578125" style="13" bestFit="1" customWidth="1"/>
    <col min="12560" max="12560" width="9.140625" style="13"/>
    <col min="12561" max="12561" width="49" style="13" bestFit="1" customWidth="1"/>
    <col min="12562" max="12562" width="11.85546875" style="13" bestFit="1" customWidth="1"/>
    <col min="12563" max="12567" width="4.5703125" style="13" bestFit="1" customWidth="1"/>
    <col min="12568" max="12568" width="4" style="13" bestFit="1" customWidth="1"/>
    <col min="12569" max="12572" width="4.5703125" style="13" bestFit="1" customWidth="1"/>
    <col min="12573" max="12573" width="14.42578125" style="13" bestFit="1" customWidth="1"/>
    <col min="12574" max="12574" width="13.42578125" style="13" bestFit="1" customWidth="1"/>
    <col min="12575" max="12800" width="9.140625" style="13"/>
    <col min="12801" max="12801" width="29.85546875" style="13" bestFit="1" customWidth="1"/>
    <col min="12802" max="12802" width="11.85546875" style="13" bestFit="1" customWidth="1"/>
    <col min="12803" max="12803" width="11.85546875" style="13" customWidth="1"/>
    <col min="12804" max="12804" width="4.5703125" style="13" bestFit="1" customWidth="1"/>
    <col min="12805" max="12806" width="5.140625" style="13" bestFit="1" customWidth="1"/>
    <col min="12807" max="12807" width="4.5703125" style="13" bestFit="1" customWidth="1"/>
    <col min="12808" max="12808" width="5.140625" style="13" bestFit="1" customWidth="1"/>
    <col min="12809" max="12809" width="4" style="13" bestFit="1" customWidth="1"/>
    <col min="12810" max="12813" width="4.5703125" style="13" bestFit="1" customWidth="1"/>
    <col min="12814" max="12814" width="14.42578125" style="13" bestFit="1" customWidth="1"/>
    <col min="12815" max="12815" width="13.42578125" style="13" bestFit="1" customWidth="1"/>
    <col min="12816" max="12816" width="9.140625" style="13"/>
    <col min="12817" max="12817" width="49" style="13" bestFit="1" customWidth="1"/>
    <col min="12818" max="12818" width="11.85546875" style="13" bestFit="1" customWidth="1"/>
    <col min="12819" max="12823" width="4.5703125" style="13" bestFit="1" customWidth="1"/>
    <col min="12824" max="12824" width="4" style="13" bestFit="1" customWidth="1"/>
    <col min="12825" max="12828" width="4.5703125" style="13" bestFit="1" customWidth="1"/>
    <col min="12829" max="12829" width="14.42578125" style="13" bestFit="1" customWidth="1"/>
    <col min="12830" max="12830" width="13.42578125" style="13" bestFit="1" customWidth="1"/>
    <col min="12831" max="13056" width="9.140625" style="13"/>
    <col min="13057" max="13057" width="29.85546875" style="13" bestFit="1" customWidth="1"/>
    <col min="13058" max="13058" width="11.85546875" style="13" bestFit="1" customWidth="1"/>
    <col min="13059" max="13059" width="11.85546875" style="13" customWidth="1"/>
    <col min="13060" max="13060" width="4.5703125" style="13" bestFit="1" customWidth="1"/>
    <col min="13061" max="13062" width="5.140625" style="13" bestFit="1" customWidth="1"/>
    <col min="13063" max="13063" width="4.5703125" style="13" bestFit="1" customWidth="1"/>
    <col min="13064" max="13064" width="5.140625" style="13" bestFit="1" customWidth="1"/>
    <col min="13065" max="13065" width="4" style="13" bestFit="1" customWidth="1"/>
    <col min="13066" max="13069" width="4.5703125" style="13" bestFit="1" customWidth="1"/>
    <col min="13070" max="13070" width="14.42578125" style="13" bestFit="1" customWidth="1"/>
    <col min="13071" max="13071" width="13.42578125" style="13" bestFit="1" customWidth="1"/>
    <col min="13072" max="13072" width="9.140625" style="13"/>
    <col min="13073" max="13073" width="49" style="13" bestFit="1" customWidth="1"/>
    <col min="13074" max="13074" width="11.85546875" style="13" bestFit="1" customWidth="1"/>
    <col min="13075" max="13079" width="4.5703125" style="13" bestFit="1" customWidth="1"/>
    <col min="13080" max="13080" width="4" style="13" bestFit="1" customWidth="1"/>
    <col min="13081" max="13084" width="4.5703125" style="13" bestFit="1" customWidth="1"/>
    <col min="13085" max="13085" width="14.42578125" style="13" bestFit="1" customWidth="1"/>
    <col min="13086" max="13086" width="13.42578125" style="13" bestFit="1" customWidth="1"/>
    <col min="13087" max="13312" width="9.140625" style="13"/>
    <col min="13313" max="13313" width="29.85546875" style="13" bestFit="1" customWidth="1"/>
    <col min="13314" max="13314" width="11.85546875" style="13" bestFit="1" customWidth="1"/>
    <col min="13315" max="13315" width="11.85546875" style="13" customWidth="1"/>
    <col min="13316" max="13316" width="4.5703125" style="13" bestFit="1" customWidth="1"/>
    <col min="13317" max="13318" width="5.140625" style="13" bestFit="1" customWidth="1"/>
    <col min="13319" max="13319" width="4.5703125" style="13" bestFit="1" customWidth="1"/>
    <col min="13320" max="13320" width="5.140625" style="13" bestFit="1" customWidth="1"/>
    <col min="13321" max="13321" width="4" style="13" bestFit="1" customWidth="1"/>
    <col min="13322" max="13325" width="4.5703125" style="13" bestFit="1" customWidth="1"/>
    <col min="13326" max="13326" width="14.42578125" style="13" bestFit="1" customWidth="1"/>
    <col min="13327" max="13327" width="13.42578125" style="13" bestFit="1" customWidth="1"/>
    <col min="13328" max="13328" width="9.140625" style="13"/>
    <col min="13329" max="13329" width="49" style="13" bestFit="1" customWidth="1"/>
    <col min="13330" max="13330" width="11.85546875" style="13" bestFit="1" customWidth="1"/>
    <col min="13331" max="13335" width="4.5703125" style="13" bestFit="1" customWidth="1"/>
    <col min="13336" max="13336" width="4" style="13" bestFit="1" customWidth="1"/>
    <col min="13337" max="13340" width="4.5703125" style="13" bestFit="1" customWidth="1"/>
    <col min="13341" max="13341" width="14.42578125" style="13" bestFit="1" customWidth="1"/>
    <col min="13342" max="13342" width="13.42578125" style="13" bestFit="1" customWidth="1"/>
    <col min="13343" max="13568" width="9.140625" style="13"/>
    <col min="13569" max="13569" width="29.85546875" style="13" bestFit="1" customWidth="1"/>
    <col min="13570" max="13570" width="11.85546875" style="13" bestFit="1" customWidth="1"/>
    <col min="13571" max="13571" width="11.85546875" style="13" customWidth="1"/>
    <col min="13572" max="13572" width="4.5703125" style="13" bestFit="1" customWidth="1"/>
    <col min="13573" max="13574" width="5.140625" style="13" bestFit="1" customWidth="1"/>
    <col min="13575" max="13575" width="4.5703125" style="13" bestFit="1" customWidth="1"/>
    <col min="13576" max="13576" width="5.140625" style="13" bestFit="1" customWidth="1"/>
    <col min="13577" max="13577" width="4" style="13" bestFit="1" customWidth="1"/>
    <col min="13578" max="13581" width="4.5703125" style="13" bestFit="1" customWidth="1"/>
    <col min="13582" max="13582" width="14.42578125" style="13" bestFit="1" customWidth="1"/>
    <col min="13583" max="13583" width="13.42578125" style="13" bestFit="1" customWidth="1"/>
    <col min="13584" max="13584" width="9.140625" style="13"/>
    <col min="13585" max="13585" width="49" style="13" bestFit="1" customWidth="1"/>
    <col min="13586" max="13586" width="11.85546875" style="13" bestFit="1" customWidth="1"/>
    <col min="13587" max="13591" width="4.5703125" style="13" bestFit="1" customWidth="1"/>
    <col min="13592" max="13592" width="4" style="13" bestFit="1" customWidth="1"/>
    <col min="13593" max="13596" width="4.5703125" style="13" bestFit="1" customWidth="1"/>
    <col min="13597" max="13597" width="14.42578125" style="13" bestFit="1" customWidth="1"/>
    <col min="13598" max="13598" width="13.42578125" style="13" bestFit="1" customWidth="1"/>
    <col min="13599" max="13824" width="9.140625" style="13"/>
    <col min="13825" max="13825" width="29.85546875" style="13" bestFit="1" customWidth="1"/>
    <col min="13826" max="13826" width="11.85546875" style="13" bestFit="1" customWidth="1"/>
    <col min="13827" max="13827" width="11.85546875" style="13" customWidth="1"/>
    <col min="13828" max="13828" width="4.5703125" style="13" bestFit="1" customWidth="1"/>
    <col min="13829" max="13830" width="5.140625" style="13" bestFit="1" customWidth="1"/>
    <col min="13831" max="13831" width="4.5703125" style="13" bestFit="1" customWidth="1"/>
    <col min="13832" max="13832" width="5.140625" style="13" bestFit="1" customWidth="1"/>
    <col min="13833" max="13833" width="4" style="13" bestFit="1" customWidth="1"/>
    <col min="13834" max="13837" width="4.5703125" style="13" bestFit="1" customWidth="1"/>
    <col min="13838" max="13838" width="14.42578125" style="13" bestFit="1" customWidth="1"/>
    <col min="13839" max="13839" width="13.42578125" style="13" bestFit="1" customWidth="1"/>
    <col min="13840" max="13840" width="9.140625" style="13"/>
    <col min="13841" max="13841" width="49" style="13" bestFit="1" customWidth="1"/>
    <col min="13842" max="13842" width="11.85546875" style="13" bestFit="1" customWidth="1"/>
    <col min="13843" max="13847" width="4.5703125" style="13" bestFit="1" customWidth="1"/>
    <col min="13848" max="13848" width="4" style="13" bestFit="1" customWidth="1"/>
    <col min="13849" max="13852" width="4.5703125" style="13" bestFit="1" customWidth="1"/>
    <col min="13853" max="13853" width="14.42578125" style="13" bestFit="1" customWidth="1"/>
    <col min="13854" max="13854" width="13.42578125" style="13" bestFit="1" customWidth="1"/>
    <col min="13855" max="14080" width="9.140625" style="13"/>
    <col min="14081" max="14081" width="29.85546875" style="13" bestFit="1" customWidth="1"/>
    <col min="14082" max="14082" width="11.85546875" style="13" bestFit="1" customWidth="1"/>
    <col min="14083" max="14083" width="11.85546875" style="13" customWidth="1"/>
    <col min="14084" max="14084" width="4.5703125" style="13" bestFit="1" customWidth="1"/>
    <col min="14085" max="14086" width="5.140625" style="13" bestFit="1" customWidth="1"/>
    <col min="14087" max="14087" width="4.5703125" style="13" bestFit="1" customWidth="1"/>
    <col min="14088" max="14088" width="5.140625" style="13" bestFit="1" customWidth="1"/>
    <col min="14089" max="14089" width="4" style="13" bestFit="1" customWidth="1"/>
    <col min="14090" max="14093" width="4.5703125" style="13" bestFit="1" customWidth="1"/>
    <col min="14094" max="14094" width="14.42578125" style="13" bestFit="1" customWidth="1"/>
    <col min="14095" max="14095" width="13.42578125" style="13" bestFit="1" customWidth="1"/>
    <col min="14096" max="14096" width="9.140625" style="13"/>
    <col min="14097" max="14097" width="49" style="13" bestFit="1" customWidth="1"/>
    <col min="14098" max="14098" width="11.85546875" style="13" bestFit="1" customWidth="1"/>
    <col min="14099" max="14103" width="4.5703125" style="13" bestFit="1" customWidth="1"/>
    <col min="14104" max="14104" width="4" style="13" bestFit="1" customWidth="1"/>
    <col min="14105" max="14108" width="4.5703125" style="13" bestFit="1" customWidth="1"/>
    <col min="14109" max="14109" width="14.42578125" style="13" bestFit="1" customWidth="1"/>
    <col min="14110" max="14110" width="13.42578125" style="13" bestFit="1" customWidth="1"/>
    <col min="14111" max="14336" width="9.140625" style="13"/>
    <col min="14337" max="14337" width="29.85546875" style="13" bestFit="1" customWidth="1"/>
    <col min="14338" max="14338" width="11.85546875" style="13" bestFit="1" customWidth="1"/>
    <col min="14339" max="14339" width="11.85546875" style="13" customWidth="1"/>
    <col min="14340" max="14340" width="4.5703125" style="13" bestFit="1" customWidth="1"/>
    <col min="14341" max="14342" width="5.140625" style="13" bestFit="1" customWidth="1"/>
    <col min="14343" max="14343" width="4.5703125" style="13" bestFit="1" customWidth="1"/>
    <col min="14344" max="14344" width="5.140625" style="13" bestFit="1" customWidth="1"/>
    <col min="14345" max="14345" width="4" style="13" bestFit="1" customWidth="1"/>
    <col min="14346" max="14349" width="4.5703125" style="13" bestFit="1" customWidth="1"/>
    <col min="14350" max="14350" width="14.42578125" style="13" bestFit="1" customWidth="1"/>
    <col min="14351" max="14351" width="13.42578125" style="13" bestFit="1" customWidth="1"/>
    <col min="14352" max="14352" width="9.140625" style="13"/>
    <col min="14353" max="14353" width="49" style="13" bestFit="1" customWidth="1"/>
    <col min="14354" max="14354" width="11.85546875" style="13" bestFit="1" customWidth="1"/>
    <col min="14355" max="14359" width="4.5703125" style="13" bestFit="1" customWidth="1"/>
    <col min="14360" max="14360" width="4" style="13" bestFit="1" customWidth="1"/>
    <col min="14361" max="14364" width="4.5703125" style="13" bestFit="1" customWidth="1"/>
    <col min="14365" max="14365" width="14.42578125" style="13" bestFit="1" customWidth="1"/>
    <col min="14366" max="14366" width="13.42578125" style="13" bestFit="1" customWidth="1"/>
    <col min="14367" max="14592" width="9.140625" style="13"/>
    <col min="14593" max="14593" width="29.85546875" style="13" bestFit="1" customWidth="1"/>
    <col min="14594" max="14594" width="11.85546875" style="13" bestFit="1" customWidth="1"/>
    <col min="14595" max="14595" width="11.85546875" style="13" customWidth="1"/>
    <col min="14596" max="14596" width="4.5703125" style="13" bestFit="1" customWidth="1"/>
    <col min="14597" max="14598" width="5.140625" style="13" bestFit="1" customWidth="1"/>
    <col min="14599" max="14599" width="4.5703125" style="13" bestFit="1" customWidth="1"/>
    <col min="14600" max="14600" width="5.140625" style="13" bestFit="1" customWidth="1"/>
    <col min="14601" max="14601" width="4" style="13" bestFit="1" customWidth="1"/>
    <col min="14602" max="14605" width="4.5703125" style="13" bestFit="1" customWidth="1"/>
    <col min="14606" max="14606" width="14.42578125" style="13" bestFit="1" customWidth="1"/>
    <col min="14607" max="14607" width="13.42578125" style="13" bestFit="1" customWidth="1"/>
    <col min="14608" max="14608" width="9.140625" style="13"/>
    <col min="14609" max="14609" width="49" style="13" bestFit="1" customWidth="1"/>
    <col min="14610" max="14610" width="11.85546875" style="13" bestFit="1" customWidth="1"/>
    <col min="14611" max="14615" width="4.5703125" style="13" bestFit="1" customWidth="1"/>
    <col min="14616" max="14616" width="4" style="13" bestFit="1" customWidth="1"/>
    <col min="14617" max="14620" width="4.5703125" style="13" bestFit="1" customWidth="1"/>
    <col min="14621" max="14621" width="14.42578125" style="13" bestFit="1" customWidth="1"/>
    <col min="14622" max="14622" width="13.42578125" style="13" bestFit="1" customWidth="1"/>
    <col min="14623" max="14848" width="9.140625" style="13"/>
    <col min="14849" max="14849" width="29.85546875" style="13" bestFit="1" customWidth="1"/>
    <col min="14850" max="14850" width="11.85546875" style="13" bestFit="1" customWidth="1"/>
    <col min="14851" max="14851" width="11.85546875" style="13" customWidth="1"/>
    <col min="14852" max="14852" width="4.5703125" style="13" bestFit="1" customWidth="1"/>
    <col min="14853" max="14854" width="5.140625" style="13" bestFit="1" customWidth="1"/>
    <col min="14855" max="14855" width="4.5703125" style="13" bestFit="1" customWidth="1"/>
    <col min="14856" max="14856" width="5.140625" style="13" bestFit="1" customWidth="1"/>
    <col min="14857" max="14857" width="4" style="13" bestFit="1" customWidth="1"/>
    <col min="14858" max="14861" width="4.5703125" style="13" bestFit="1" customWidth="1"/>
    <col min="14862" max="14862" width="14.42578125" style="13" bestFit="1" customWidth="1"/>
    <col min="14863" max="14863" width="13.42578125" style="13" bestFit="1" customWidth="1"/>
    <col min="14864" max="14864" width="9.140625" style="13"/>
    <col min="14865" max="14865" width="49" style="13" bestFit="1" customWidth="1"/>
    <col min="14866" max="14866" width="11.85546875" style="13" bestFit="1" customWidth="1"/>
    <col min="14867" max="14871" width="4.5703125" style="13" bestFit="1" customWidth="1"/>
    <col min="14872" max="14872" width="4" style="13" bestFit="1" customWidth="1"/>
    <col min="14873" max="14876" width="4.5703125" style="13" bestFit="1" customWidth="1"/>
    <col min="14877" max="14877" width="14.42578125" style="13" bestFit="1" customWidth="1"/>
    <col min="14878" max="14878" width="13.42578125" style="13" bestFit="1" customWidth="1"/>
    <col min="14879" max="15104" width="9.140625" style="13"/>
    <col min="15105" max="15105" width="29.85546875" style="13" bestFit="1" customWidth="1"/>
    <col min="15106" max="15106" width="11.85546875" style="13" bestFit="1" customWidth="1"/>
    <col min="15107" max="15107" width="11.85546875" style="13" customWidth="1"/>
    <col min="15108" max="15108" width="4.5703125" style="13" bestFit="1" customWidth="1"/>
    <col min="15109" max="15110" width="5.140625" style="13" bestFit="1" customWidth="1"/>
    <col min="15111" max="15111" width="4.5703125" style="13" bestFit="1" customWidth="1"/>
    <col min="15112" max="15112" width="5.140625" style="13" bestFit="1" customWidth="1"/>
    <col min="15113" max="15113" width="4" style="13" bestFit="1" customWidth="1"/>
    <col min="15114" max="15117" width="4.5703125" style="13" bestFit="1" customWidth="1"/>
    <col min="15118" max="15118" width="14.42578125" style="13" bestFit="1" customWidth="1"/>
    <col min="15119" max="15119" width="13.42578125" style="13" bestFit="1" customWidth="1"/>
    <col min="15120" max="15120" width="9.140625" style="13"/>
    <col min="15121" max="15121" width="49" style="13" bestFit="1" customWidth="1"/>
    <col min="15122" max="15122" width="11.85546875" style="13" bestFit="1" customWidth="1"/>
    <col min="15123" max="15127" width="4.5703125" style="13" bestFit="1" customWidth="1"/>
    <col min="15128" max="15128" width="4" style="13" bestFit="1" customWidth="1"/>
    <col min="15129" max="15132" width="4.5703125" style="13" bestFit="1" customWidth="1"/>
    <col min="15133" max="15133" width="14.42578125" style="13" bestFit="1" customWidth="1"/>
    <col min="15134" max="15134" width="13.42578125" style="13" bestFit="1" customWidth="1"/>
    <col min="15135" max="15360" width="9.140625" style="13"/>
    <col min="15361" max="15361" width="29.85546875" style="13" bestFit="1" customWidth="1"/>
    <col min="15362" max="15362" width="11.85546875" style="13" bestFit="1" customWidth="1"/>
    <col min="15363" max="15363" width="11.85546875" style="13" customWidth="1"/>
    <col min="15364" max="15364" width="4.5703125" style="13" bestFit="1" customWidth="1"/>
    <col min="15365" max="15366" width="5.140625" style="13" bestFit="1" customWidth="1"/>
    <col min="15367" max="15367" width="4.5703125" style="13" bestFit="1" customWidth="1"/>
    <col min="15368" max="15368" width="5.140625" style="13" bestFit="1" customWidth="1"/>
    <col min="15369" max="15369" width="4" style="13" bestFit="1" customWidth="1"/>
    <col min="15370" max="15373" width="4.5703125" style="13" bestFit="1" customWidth="1"/>
    <col min="15374" max="15374" width="14.42578125" style="13" bestFit="1" customWidth="1"/>
    <col min="15375" max="15375" width="13.42578125" style="13" bestFit="1" customWidth="1"/>
    <col min="15376" max="15376" width="9.140625" style="13"/>
    <col min="15377" max="15377" width="49" style="13" bestFit="1" customWidth="1"/>
    <col min="15378" max="15378" width="11.85546875" style="13" bestFit="1" customWidth="1"/>
    <col min="15379" max="15383" width="4.5703125" style="13" bestFit="1" customWidth="1"/>
    <col min="15384" max="15384" width="4" style="13" bestFit="1" customWidth="1"/>
    <col min="15385" max="15388" width="4.5703125" style="13" bestFit="1" customWidth="1"/>
    <col min="15389" max="15389" width="14.42578125" style="13" bestFit="1" customWidth="1"/>
    <col min="15390" max="15390" width="13.42578125" style="13" bestFit="1" customWidth="1"/>
    <col min="15391" max="15616" width="9.140625" style="13"/>
    <col min="15617" max="15617" width="29.85546875" style="13" bestFit="1" customWidth="1"/>
    <col min="15618" max="15618" width="11.85546875" style="13" bestFit="1" customWidth="1"/>
    <col min="15619" max="15619" width="11.85546875" style="13" customWidth="1"/>
    <col min="15620" max="15620" width="4.5703125" style="13" bestFit="1" customWidth="1"/>
    <col min="15621" max="15622" width="5.140625" style="13" bestFit="1" customWidth="1"/>
    <col min="15623" max="15623" width="4.5703125" style="13" bestFit="1" customWidth="1"/>
    <col min="15624" max="15624" width="5.140625" style="13" bestFit="1" customWidth="1"/>
    <col min="15625" max="15625" width="4" style="13" bestFit="1" customWidth="1"/>
    <col min="15626" max="15629" width="4.5703125" style="13" bestFit="1" customWidth="1"/>
    <col min="15630" max="15630" width="14.42578125" style="13" bestFit="1" customWidth="1"/>
    <col min="15631" max="15631" width="13.42578125" style="13" bestFit="1" customWidth="1"/>
    <col min="15632" max="15632" width="9.140625" style="13"/>
    <col min="15633" max="15633" width="49" style="13" bestFit="1" customWidth="1"/>
    <col min="15634" max="15634" width="11.85546875" style="13" bestFit="1" customWidth="1"/>
    <col min="15635" max="15639" width="4.5703125" style="13" bestFit="1" customWidth="1"/>
    <col min="15640" max="15640" width="4" style="13" bestFit="1" customWidth="1"/>
    <col min="15641" max="15644" width="4.5703125" style="13" bestFit="1" customWidth="1"/>
    <col min="15645" max="15645" width="14.42578125" style="13" bestFit="1" customWidth="1"/>
    <col min="15646" max="15646" width="13.42578125" style="13" bestFit="1" customWidth="1"/>
    <col min="15647" max="15872" width="9.140625" style="13"/>
    <col min="15873" max="15873" width="29.85546875" style="13" bestFit="1" customWidth="1"/>
    <col min="15874" max="15874" width="11.85546875" style="13" bestFit="1" customWidth="1"/>
    <col min="15875" max="15875" width="11.85546875" style="13" customWidth="1"/>
    <col min="15876" max="15876" width="4.5703125" style="13" bestFit="1" customWidth="1"/>
    <col min="15877" max="15878" width="5.140625" style="13" bestFit="1" customWidth="1"/>
    <col min="15879" max="15879" width="4.5703125" style="13" bestFit="1" customWidth="1"/>
    <col min="15880" max="15880" width="5.140625" style="13" bestFit="1" customWidth="1"/>
    <col min="15881" max="15881" width="4" style="13" bestFit="1" customWidth="1"/>
    <col min="15882" max="15885" width="4.5703125" style="13" bestFit="1" customWidth="1"/>
    <col min="15886" max="15886" width="14.42578125" style="13" bestFit="1" customWidth="1"/>
    <col min="15887" max="15887" width="13.42578125" style="13" bestFit="1" customWidth="1"/>
    <col min="15888" max="15888" width="9.140625" style="13"/>
    <col min="15889" max="15889" width="49" style="13" bestFit="1" customWidth="1"/>
    <col min="15890" max="15890" width="11.85546875" style="13" bestFit="1" customWidth="1"/>
    <col min="15891" max="15895" width="4.5703125" style="13" bestFit="1" customWidth="1"/>
    <col min="15896" max="15896" width="4" style="13" bestFit="1" customWidth="1"/>
    <col min="15897" max="15900" width="4.5703125" style="13" bestFit="1" customWidth="1"/>
    <col min="15901" max="15901" width="14.42578125" style="13" bestFit="1" customWidth="1"/>
    <col min="15902" max="15902" width="13.42578125" style="13" bestFit="1" customWidth="1"/>
    <col min="15903" max="16128" width="9.140625" style="13"/>
    <col min="16129" max="16129" width="29.85546875" style="13" bestFit="1" customWidth="1"/>
    <col min="16130" max="16130" width="11.85546875" style="13" bestFit="1" customWidth="1"/>
    <col min="16131" max="16131" width="11.85546875" style="13" customWidth="1"/>
    <col min="16132" max="16132" width="4.5703125" style="13" bestFit="1" customWidth="1"/>
    <col min="16133" max="16134" width="5.140625" style="13" bestFit="1" customWidth="1"/>
    <col min="16135" max="16135" width="4.5703125" style="13" bestFit="1" customWidth="1"/>
    <col min="16136" max="16136" width="5.140625" style="13" bestFit="1" customWidth="1"/>
    <col min="16137" max="16137" width="4" style="13" bestFit="1" customWidth="1"/>
    <col min="16138" max="16141" width="4.5703125" style="13" bestFit="1" customWidth="1"/>
    <col min="16142" max="16142" width="14.42578125" style="13" bestFit="1" customWidth="1"/>
    <col min="16143" max="16143" width="13.42578125" style="13" bestFit="1" customWidth="1"/>
    <col min="16144" max="16144" width="9.140625" style="13"/>
    <col min="16145" max="16145" width="49" style="13" bestFit="1" customWidth="1"/>
    <col min="16146" max="16146" width="11.85546875" style="13" bestFit="1" customWidth="1"/>
    <col min="16147" max="16151" width="4.5703125" style="13" bestFit="1" customWidth="1"/>
    <col min="16152" max="16152" width="4" style="13" bestFit="1" customWidth="1"/>
    <col min="16153" max="16156" width="4.5703125" style="13" bestFit="1" customWidth="1"/>
    <col min="16157" max="16157" width="14.42578125" style="13" bestFit="1" customWidth="1"/>
    <col min="16158" max="16158" width="13.42578125" style="13" bestFit="1" customWidth="1"/>
    <col min="16159" max="16384" width="9.140625" style="13"/>
  </cols>
  <sheetData>
    <row r="1" spans="1:30" x14ac:dyDescent="0.2">
      <c r="A1" s="19"/>
      <c r="B1" s="18"/>
      <c r="C1" s="18"/>
      <c r="D1" s="342" t="s">
        <v>284</v>
      </c>
      <c r="E1" s="342"/>
      <c r="F1" s="342"/>
      <c r="G1" s="342"/>
      <c r="H1" s="342"/>
      <c r="I1" s="343" t="s">
        <v>285</v>
      </c>
      <c r="J1" s="343"/>
      <c r="K1" s="343"/>
      <c r="L1" s="343"/>
      <c r="M1" s="343"/>
      <c r="N1" s="18"/>
      <c r="O1" s="18"/>
      <c r="Q1" s="19"/>
      <c r="R1" s="18"/>
      <c r="S1" s="342" t="s">
        <v>284</v>
      </c>
      <c r="T1" s="342"/>
      <c r="U1" s="342"/>
      <c r="V1" s="342"/>
      <c r="W1" s="342"/>
      <c r="X1" s="343" t="s">
        <v>285</v>
      </c>
      <c r="Y1" s="343"/>
      <c r="Z1" s="343"/>
      <c r="AA1" s="343"/>
      <c r="AB1" s="343"/>
      <c r="AC1" s="18"/>
      <c r="AD1" s="18"/>
    </row>
    <row r="2" spans="1:30" x14ac:dyDescent="0.2">
      <c r="A2" s="20" t="s">
        <v>286</v>
      </c>
      <c r="B2" s="17" t="s">
        <v>287</v>
      </c>
      <c r="C2" s="17" t="s">
        <v>288</v>
      </c>
      <c r="D2" s="21" t="s">
        <v>289</v>
      </c>
      <c r="E2" s="21" t="s">
        <v>290</v>
      </c>
      <c r="F2" s="21" t="s">
        <v>291</v>
      </c>
      <c r="G2" s="21" t="s">
        <v>292</v>
      </c>
      <c r="H2" s="21" t="s">
        <v>293</v>
      </c>
      <c r="I2" s="22" t="s">
        <v>289</v>
      </c>
      <c r="J2" s="22" t="s">
        <v>290</v>
      </c>
      <c r="K2" s="22" t="s">
        <v>291</v>
      </c>
      <c r="L2" s="22" t="s">
        <v>292</v>
      </c>
      <c r="M2" s="22" t="s">
        <v>293</v>
      </c>
      <c r="N2" s="17" t="s">
        <v>294</v>
      </c>
      <c r="O2" s="17" t="s">
        <v>295</v>
      </c>
      <c r="Q2" s="20" t="s">
        <v>296</v>
      </c>
      <c r="R2" s="17" t="s">
        <v>287</v>
      </c>
      <c r="S2" s="21" t="s">
        <v>289</v>
      </c>
      <c r="T2" s="21" t="s">
        <v>290</v>
      </c>
      <c r="U2" s="21" t="s">
        <v>291</v>
      </c>
      <c r="V2" s="21" t="s">
        <v>292</v>
      </c>
      <c r="W2" s="21" t="s">
        <v>293</v>
      </c>
      <c r="X2" s="22" t="s">
        <v>289</v>
      </c>
      <c r="Y2" s="22" t="s">
        <v>290</v>
      </c>
      <c r="Z2" s="22" t="s">
        <v>291</v>
      </c>
      <c r="AA2" s="22" t="s">
        <v>292</v>
      </c>
      <c r="AB2" s="22" t="s">
        <v>293</v>
      </c>
      <c r="AC2" s="17" t="s">
        <v>294</v>
      </c>
      <c r="AD2" s="17" t="s">
        <v>295</v>
      </c>
    </row>
    <row r="3" spans="1:30" x14ac:dyDescent="0.2">
      <c r="A3" s="19" t="s">
        <v>297</v>
      </c>
      <c r="B3" s="18" t="s">
        <v>298</v>
      </c>
      <c r="C3" s="18">
        <v>1</v>
      </c>
      <c r="D3" s="23"/>
      <c r="E3" s="23"/>
      <c r="F3" s="23"/>
      <c r="G3" s="23"/>
      <c r="H3" s="23"/>
      <c r="I3" s="24"/>
      <c r="J3" s="24"/>
      <c r="K3" s="24"/>
      <c r="L3" s="24"/>
      <c r="M3" s="24"/>
      <c r="N3" s="18">
        <f>AC19</f>
        <v>270</v>
      </c>
      <c r="O3" s="18">
        <f>AD19</f>
        <v>90</v>
      </c>
      <c r="Q3" s="19" t="s">
        <v>62</v>
      </c>
      <c r="R3" s="18" t="s">
        <v>299</v>
      </c>
      <c r="S3" s="23">
        <v>0</v>
      </c>
      <c r="T3" s="23">
        <v>0.04</v>
      </c>
      <c r="U3" s="23">
        <v>0.06</v>
      </c>
      <c r="V3" s="23">
        <v>0.1</v>
      </c>
      <c r="W3" s="23">
        <v>0.13</v>
      </c>
      <c r="X3" s="24"/>
      <c r="Y3" s="24"/>
      <c r="Z3" s="24"/>
      <c r="AA3" s="24"/>
      <c r="AB3" s="24"/>
      <c r="AC3" s="18"/>
      <c r="AD3" s="18"/>
    </row>
    <row r="4" spans="1:30" x14ac:dyDescent="0.2">
      <c r="A4" s="19" t="s">
        <v>300</v>
      </c>
      <c r="B4" s="18" t="s">
        <v>298</v>
      </c>
      <c r="C4" s="18"/>
      <c r="D4" s="23">
        <f>S18</f>
        <v>0</v>
      </c>
      <c r="E4" s="23">
        <v>0</v>
      </c>
      <c r="F4" s="23">
        <v>0.1</v>
      </c>
      <c r="G4" s="23">
        <v>0.15</v>
      </c>
      <c r="H4" s="23">
        <v>0.2</v>
      </c>
      <c r="I4" s="24">
        <f>X18</f>
        <v>0</v>
      </c>
      <c r="J4" s="24">
        <f t="shared" ref="J4:M4" si="0">Y18</f>
        <v>0</v>
      </c>
      <c r="K4" s="24">
        <f t="shared" si="0"/>
        <v>2.5</v>
      </c>
      <c r="L4" s="24">
        <f t="shared" si="0"/>
        <v>3.75</v>
      </c>
      <c r="M4" s="24">
        <f t="shared" si="0"/>
        <v>5</v>
      </c>
      <c r="N4" s="18"/>
      <c r="O4" s="18"/>
      <c r="Q4" s="19" t="s">
        <v>64</v>
      </c>
      <c r="R4" s="18" t="s">
        <v>299</v>
      </c>
      <c r="S4" s="23"/>
      <c r="T4" s="23"/>
      <c r="U4" s="23"/>
      <c r="V4" s="23"/>
      <c r="W4" s="23"/>
      <c r="X4" s="24">
        <v>0</v>
      </c>
      <c r="Y4" s="24">
        <v>0.7</v>
      </c>
      <c r="Z4" s="24">
        <v>0.7</v>
      </c>
      <c r="AA4" s="24">
        <v>0.8</v>
      </c>
      <c r="AB4" s="24">
        <v>1</v>
      </c>
      <c r="AC4" s="18"/>
      <c r="AD4" s="18"/>
    </row>
    <row r="5" spans="1:30" x14ac:dyDescent="0.2">
      <c r="A5" s="19" t="s">
        <v>301</v>
      </c>
      <c r="B5" s="18" t="s">
        <v>298</v>
      </c>
      <c r="C5" s="18"/>
      <c r="D5" s="23"/>
      <c r="E5" s="23"/>
      <c r="F5" s="23"/>
      <c r="G5" s="23"/>
      <c r="H5" s="23"/>
      <c r="I5" s="24"/>
      <c r="J5" s="24"/>
      <c r="K5" s="24"/>
      <c r="L5" s="24"/>
      <c r="M5" s="24"/>
      <c r="N5" s="18"/>
      <c r="O5" s="18">
        <f>AD22</f>
        <v>400</v>
      </c>
      <c r="Q5" s="19" t="s">
        <v>65</v>
      </c>
      <c r="R5" s="18" t="s">
        <v>299</v>
      </c>
      <c r="S5" s="23">
        <v>0</v>
      </c>
      <c r="T5" s="23">
        <v>0.14000000000000001</v>
      </c>
      <c r="U5" s="23">
        <v>0.14000000000000001</v>
      </c>
      <c r="V5" s="23">
        <v>0.16</v>
      </c>
      <c r="W5" s="23">
        <v>0.2</v>
      </c>
      <c r="X5" s="24"/>
      <c r="Y5" s="24"/>
      <c r="Z5" s="24"/>
      <c r="AA5" s="24"/>
      <c r="AB5" s="24"/>
      <c r="AC5" s="18"/>
      <c r="AD5" s="18"/>
    </row>
    <row r="6" spans="1:30" ht="38.25" x14ac:dyDescent="0.2">
      <c r="A6" s="19" t="s">
        <v>302</v>
      </c>
      <c r="B6" s="18" t="s">
        <v>298</v>
      </c>
      <c r="C6" s="18"/>
      <c r="D6" s="23">
        <f>S20</f>
        <v>0</v>
      </c>
      <c r="E6" s="23">
        <f t="shared" ref="E6:H6" si="1">T20</f>
        <v>0.75</v>
      </c>
      <c r="F6" s="23">
        <f t="shared" si="1"/>
        <v>0.75</v>
      </c>
      <c r="G6" s="23">
        <f t="shared" si="1"/>
        <v>0.75</v>
      </c>
      <c r="H6" s="23">
        <f t="shared" si="1"/>
        <v>0.75</v>
      </c>
      <c r="I6" s="24"/>
      <c r="J6" s="24"/>
      <c r="K6" s="24"/>
      <c r="L6" s="24"/>
      <c r="M6" s="24"/>
      <c r="N6" s="18"/>
      <c r="O6" s="18"/>
      <c r="Q6" s="19" t="s">
        <v>66</v>
      </c>
      <c r="R6" s="18" t="s">
        <v>299</v>
      </c>
      <c r="S6" s="23">
        <v>0</v>
      </c>
      <c r="T6" s="23">
        <v>0.14000000000000001</v>
      </c>
      <c r="U6" s="23">
        <v>0.14000000000000001</v>
      </c>
      <c r="V6" s="23">
        <v>0.16</v>
      </c>
      <c r="W6" s="23">
        <v>0.2</v>
      </c>
      <c r="X6" s="24"/>
      <c r="Y6" s="24"/>
      <c r="Z6" s="24"/>
      <c r="AA6" s="24"/>
      <c r="AB6" s="24"/>
      <c r="AC6" s="18"/>
      <c r="AD6" s="18"/>
    </row>
    <row r="7" spans="1:30" x14ac:dyDescent="0.2">
      <c r="A7" s="19" t="s">
        <v>73</v>
      </c>
      <c r="B7" s="18" t="s">
        <v>299</v>
      </c>
      <c r="C7" s="18"/>
      <c r="D7" s="23">
        <f>S13</f>
        <v>0</v>
      </c>
      <c r="E7" s="23">
        <f t="shared" ref="E7:H7" si="2">T13</f>
        <v>0.25</v>
      </c>
      <c r="F7" s="23">
        <f t="shared" si="2"/>
        <v>0.25</v>
      </c>
      <c r="G7" s="23">
        <f t="shared" si="2"/>
        <v>0.4</v>
      </c>
      <c r="H7" s="23">
        <f t="shared" si="2"/>
        <v>0.4</v>
      </c>
      <c r="I7" s="24"/>
      <c r="J7" s="24"/>
      <c r="K7" s="24"/>
      <c r="L7" s="24"/>
      <c r="M7" s="24"/>
      <c r="N7" s="18"/>
      <c r="O7" s="18"/>
      <c r="Q7" s="19" t="s">
        <v>67</v>
      </c>
      <c r="R7" s="18" t="s">
        <v>299</v>
      </c>
      <c r="S7" s="23">
        <v>0</v>
      </c>
      <c r="T7" s="23">
        <v>0.14000000000000001</v>
      </c>
      <c r="U7" s="23">
        <v>0.14000000000000001</v>
      </c>
      <c r="V7" s="23">
        <v>0.16</v>
      </c>
      <c r="W7" s="23">
        <v>0.2</v>
      </c>
      <c r="X7" s="24"/>
      <c r="Y7" s="24"/>
      <c r="Z7" s="24"/>
      <c r="AA7" s="24"/>
      <c r="AB7" s="24"/>
      <c r="AC7" s="18"/>
      <c r="AD7" s="18"/>
    </row>
    <row r="8" spans="1:30" x14ac:dyDescent="0.2">
      <c r="A8" s="19" t="s">
        <v>303</v>
      </c>
      <c r="B8" s="18" t="s">
        <v>299</v>
      </c>
      <c r="C8" s="18"/>
      <c r="D8" s="23">
        <f>S10</f>
        <v>0</v>
      </c>
      <c r="E8" s="23">
        <f t="shared" ref="E8:H8" si="3">T10</f>
        <v>0.04</v>
      </c>
      <c r="F8" s="23">
        <f t="shared" si="3"/>
        <v>0.05</v>
      </c>
      <c r="G8" s="23">
        <f t="shared" si="3"/>
        <v>0.05</v>
      </c>
      <c r="H8" s="23">
        <f t="shared" si="3"/>
        <v>0.05</v>
      </c>
      <c r="I8" s="24"/>
      <c r="J8" s="24"/>
      <c r="K8" s="24"/>
      <c r="L8" s="24"/>
      <c r="M8" s="24"/>
      <c r="N8" s="18"/>
      <c r="O8" s="18"/>
      <c r="Q8" s="19" t="s">
        <v>68</v>
      </c>
      <c r="R8" s="18" t="s">
        <v>299</v>
      </c>
      <c r="S8" s="23">
        <v>0</v>
      </c>
      <c r="T8" s="23">
        <v>0.75</v>
      </c>
      <c r="U8" s="23">
        <v>1</v>
      </c>
      <c r="V8" s="23">
        <v>1</v>
      </c>
      <c r="W8" s="23">
        <v>1</v>
      </c>
      <c r="X8" s="24"/>
      <c r="Y8" s="24"/>
      <c r="Z8" s="24"/>
      <c r="AA8" s="24"/>
      <c r="AB8" s="24"/>
      <c r="AC8" s="18"/>
      <c r="AD8" s="18"/>
    </row>
    <row r="9" spans="1:30" ht="25.5" x14ac:dyDescent="0.2">
      <c r="A9" s="19" t="s">
        <v>304</v>
      </c>
      <c r="B9" s="18" t="s">
        <v>298</v>
      </c>
      <c r="C9" s="18"/>
      <c r="D9" s="23">
        <f>S21</f>
        <v>0</v>
      </c>
      <c r="E9" s="23">
        <f t="shared" ref="E9:H9" si="4">T21</f>
        <v>0.5</v>
      </c>
      <c r="F9" s="23">
        <f t="shared" si="4"/>
        <v>0.5</v>
      </c>
      <c r="G9" s="23">
        <f t="shared" si="4"/>
        <v>0.5</v>
      </c>
      <c r="H9" s="23">
        <f t="shared" si="4"/>
        <v>0.5</v>
      </c>
      <c r="I9" s="24"/>
      <c r="J9" s="24"/>
      <c r="K9" s="24"/>
      <c r="L9" s="24"/>
      <c r="M9" s="24"/>
      <c r="N9" s="18"/>
      <c r="O9" s="18"/>
      <c r="Q9" s="19" t="s">
        <v>69</v>
      </c>
      <c r="R9" s="18" t="s">
        <v>299</v>
      </c>
      <c r="S9" s="23">
        <v>0</v>
      </c>
      <c r="T9" s="23">
        <v>0.15</v>
      </c>
      <c r="U9" s="23">
        <v>0.15</v>
      </c>
      <c r="V9" s="23">
        <v>0.2</v>
      </c>
      <c r="W9" s="23">
        <v>0.3</v>
      </c>
      <c r="X9" s="24"/>
      <c r="Y9" s="24"/>
      <c r="Z9" s="24"/>
      <c r="AA9" s="24"/>
      <c r="AB9" s="24"/>
      <c r="AC9" s="18"/>
      <c r="AD9" s="18"/>
    </row>
    <row r="10" spans="1:30" x14ac:dyDescent="0.2">
      <c r="A10" s="19" t="s">
        <v>548</v>
      </c>
      <c r="B10" s="18" t="s">
        <v>299</v>
      </c>
      <c r="C10" s="18"/>
      <c r="D10" s="23">
        <f>S14</f>
        <v>0</v>
      </c>
      <c r="E10" s="23">
        <f t="shared" ref="E10:H10" si="5">T14</f>
        <v>0.5</v>
      </c>
      <c r="F10" s="23">
        <f t="shared" si="5"/>
        <v>0.5</v>
      </c>
      <c r="G10" s="23">
        <f t="shared" si="5"/>
        <v>0.5</v>
      </c>
      <c r="H10" s="23">
        <f t="shared" si="5"/>
        <v>0.5</v>
      </c>
      <c r="I10" s="24"/>
      <c r="J10" s="24"/>
      <c r="K10" s="24"/>
      <c r="L10" s="24"/>
      <c r="M10" s="24"/>
      <c r="N10" s="18"/>
      <c r="O10" s="18"/>
      <c r="Q10" s="19" t="s">
        <v>303</v>
      </c>
      <c r="R10" s="18" t="s">
        <v>299</v>
      </c>
      <c r="S10" s="23">
        <v>0</v>
      </c>
      <c r="T10" s="23">
        <v>0.04</v>
      </c>
      <c r="U10" s="23">
        <v>0.05</v>
      </c>
      <c r="V10" s="23">
        <v>0.05</v>
      </c>
      <c r="W10" s="23">
        <v>0.05</v>
      </c>
      <c r="X10" s="24"/>
      <c r="Y10" s="24"/>
      <c r="Z10" s="24"/>
      <c r="AA10" s="24"/>
      <c r="AB10" s="24"/>
      <c r="AC10" s="18"/>
      <c r="AD10" s="18"/>
    </row>
    <row r="11" spans="1:30" x14ac:dyDescent="0.2">
      <c r="A11" s="19" t="s">
        <v>72</v>
      </c>
      <c r="B11" s="18" t="s">
        <v>299</v>
      </c>
      <c r="C11" s="18"/>
      <c r="D11" s="23"/>
      <c r="E11" s="23"/>
      <c r="F11" s="23"/>
      <c r="G11" s="23"/>
      <c r="H11" s="23"/>
      <c r="I11" s="24">
        <f>X12</f>
        <v>0</v>
      </c>
      <c r="J11" s="24">
        <f t="shared" ref="J11:M11" si="6">Y12</f>
        <v>20</v>
      </c>
      <c r="K11" s="24">
        <f t="shared" si="6"/>
        <v>20</v>
      </c>
      <c r="L11" s="24">
        <f t="shared" si="6"/>
        <v>20</v>
      </c>
      <c r="M11" s="24">
        <f t="shared" si="6"/>
        <v>20</v>
      </c>
      <c r="N11" s="18"/>
      <c r="O11" s="18"/>
      <c r="Q11" s="19" t="s">
        <v>71</v>
      </c>
      <c r="R11" s="18" t="s">
        <v>299</v>
      </c>
      <c r="S11" s="23"/>
      <c r="T11" s="23"/>
      <c r="U11" s="23"/>
      <c r="V11" s="23"/>
      <c r="W11" s="23"/>
      <c r="X11" s="24">
        <v>0</v>
      </c>
      <c r="Y11" s="24">
        <v>20</v>
      </c>
      <c r="Z11" s="24">
        <v>20</v>
      </c>
      <c r="AA11" s="24">
        <v>30</v>
      </c>
      <c r="AB11" s="24">
        <v>30</v>
      </c>
      <c r="AC11" s="18"/>
      <c r="AD11" s="18"/>
    </row>
    <row r="12" spans="1:30" x14ac:dyDescent="0.2">
      <c r="A12" s="19" t="s">
        <v>305</v>
      </c>
      <c r="B12" s="18" t="s">
        <v>299</v>
      </c>
      <c r="C12" s="18"/>
      <c r="D12" s="23">
        <f>S16</f>
        <v>0</v>
      </c>
      <c r="E12" s="23">
        <f t="shared" ref="E12:H12" si="7">T16</f>
        <v>0.25</v>
      </c>
      <c r="F12" s="23">
        <f t="shared" si="7"/>
        <v>0.25</v>
      </c>
      <c r="G12" s="23">
        <f t="shared" si="7"/>
        <v>0.5</v>
      </c>
      <c r="H12" s="23">
        <f t="shared" si="7"/>
        <v>0.7</v>
      </c>
      <c r="I12" s="24"/>
      <c r="J12" s="24"/>
      <c r="K12" s="24"/>
      <c r="L12" s="24"/>
      <c r="M12" s="24"/>
      <c r="N12" s="18"/>
      <c r="O12" s="18"/>
      <c r="Q12" s="19" t="s">
        <v>72</v>
      </c>
      <c r="R12" s="18" t="s">
        <v>299</v>
      </c>
      <c r="S12" s="23"/>
      <c r="T12" s="23"/>
      <c r="U12" s="23"/>
      <c r="V12" s="23"/>
      <c r="W12" s="23"/>
      <c r="X12" s="24">
        <v>0</v>
      </c>
      <c r="Y12" s="24">
        <v>20</v>
      </c>
      <c r="Z12" s="24">
        <v>20</v>
      </c>
      <c r="AA12" s="24">
        <v>20</v>
      </c>
      <c r="AB12" s="24">
        <v>20</v>
      </c>
      <c r="AC12" s="18"/>
      <c r="AD12" s="18"/>
    </row>
    <row r="13" spans="1:30" ht="25.5" x14ac:dyDescent="0.2">
      <c r="A13" s="19" t="s">
        <v>87</v>
      </c>
      <c r="B13" s="18" t="s">
        <v>298</v>
      </c>
      <c r="C13" s="18"/>
      <c r="D13" s="23"/>
      <c r="E13" s="23"/>
      <c r="F13" s="23"/>
      <c r="G13" s="23"/>
      <c r="H13" s="23"/>
      <c r="I13" s="24"/>
      <c r="J13" s="24"/>
      <c r="K13" s="24"/>
      <c r="L13" s="24"/>
      <c r="M13" s="24"/>
      <c r="N13" s="18"/>
      <c r="O13" s="18">
        <f>AD23</f>
        <v>800</v>
      </c>
      <c r="Q13" s="19" t="s">
        <v>73</v>
      </c>
      <c r="R13" s="18" t="s">
        <v>299</v>
      </c>
      <c r="S13" s="23">
        <v>0</v>
      </c>
      <c r="T13" s="23">
        <v>0.25</v>
      </c>
      <c r="U13" s="23">
        <v>0.25</v>
      </c>
      <c r="V13" s="23">
        <v>0.4</v>
      </c>
      <c r="W13" s="23">
        <v>0.4</v>
      </c>
      <c r="X13" s="24"/>
      <c r="Y13" s="24"/>
      <c r="Z13" s="24"/>
      <c r="AA13" s="24"/>
      <c r="AB13" s="24"/>
      <c r="AC13" s="18"/>
      <c r="AD13" s="18"/>
    </row>
    <row r="14" spans="1:30" x14ac:dyDescent="0.2">
      <c r="A14" s="19" t="s">
        <v>69</v>
      </c>
      <c r="B14" s="18" t="s">
        <v>299</v>
      </c>
      <c r="C14" s="18"/>
      <c r="D14" s="23">
        <f>S9</f>
        <v>0</v>
      </c>
      <c r="E14" s="23">
        <f t="shared" ref="E14:H14" si="8">T9</f>
        <v>0.15</v>
      </c>
      <c r="F14" s="23">
        <f t="shared" si="8"/>
        <v>0.15</v>
      </c>
      <c r="G14" s="23">
        <f t="shared" si="8"/>
        <v>0.2</v>
      </c>
      <c r="H14" s="23">
        <f t="shared" si="8"/>
        <v>0.3</v>
      </c>
      <c r="I14" s="24"/>
      <c r="J14" s="24"/>
      <c r="K14" s="24"/>
      <c r="L14" s="24"/>
      <c r="M14" s="24"/>
      <c r="N14" s="18"/>
      <c r="O14" s="18"/>
      <c r="Q14" s="19" t="s">
        <v>548</v>
      </c>
      <c r="R14" s="18" t="s">
        <v>299</v>
      </c>
      <c r="S14" s="23">
        <v>0</v>
      </c>
      <c r="T14" s="23">
        <v>0.5</v>
      </c>
      <c r="U14" s="23">
        <v>0.5</v>
      </c>
      <c r="V14" s="23">
        <v>0.5</v>
      </c>
      <c r="W14" s="23">
        <v>0.5</v>
      </c>
      <c r="X14" s="24"/>
      <c r="Y14" s="24"/>
      <c r="Z14" s="24"/>
      <c r="AA14" s="24"/>
      <c r="AB14" s="24"/>
      <c r="AC14" s="18"/>
      <c r="AD14" s="18"/>
    </row>
    <row r="15" spans="1:30" x14ac:dyDescent="0.2">
      <c r="A15" s="19" t="s">
        <v>66</v>
      </c>
      <c r="B15" s="18" t="s">
        <v>299</v>
      </c>
      <c r="C15" s="18"/>
      <c r="D15" s="23">
        <f>S6</f>
        <v>0</v>
      </c>
      <c r="E15" s="23">
        <f t="shared" ref="E15:H15" si="9">T6</f>
        <v>0.14000000000000001</v>
      </c>
      <c r="F15" s="23">
        <f t="shared" si="9"/>
        <v>0.14000000000000001</v>
      </c>
      <c r="G15" s="23">
        <f t="shared" si="9"/>
        <v>0.16</v>
      </c>
      <c r="H15" s="23">
        <f t="shared" si="9"/>
        <v>0.2</v>
      </c>
      <c r="I15" s="24"/>
      <c r="J15" s="24"/>
      <c r="K15" s="24"/>
      <c r="L15" s="24"/>
      <c r="M15" s="24"/>
      <c r="N15" s="18"/>
      <c r="O15" s="18"/>
      <c r="Q15" s="19" t="s">
        <v>306</v>
      </c>
      <c r="R15" s="18" t="s">
        <v>299</v>
      </c>
      <c r="S15" s="23">
        <v>0</v>
      </c>
      <c r="T15" s="23">
        <v>0.6</v>
      </c>
      <c r="U15" s="23">
        <v>0.6</v>
      </c>
      <c r="V15" s="23">
        <v>0.8</v>
      </c>
      <c r="W15" s="23">
        <v>1</v>
      </c>
      <c r="X15" s="24"/>
      <c r="Y15" s="24"/>
      <c r="Z15" s="24"/>
      <c r="AA15" s="24"/>
      <c r="AB15" s="24"/>
      <c r="AC15" s="18"/>
      <c r="AD15" s="18"/>
    </row>
    <row r="16" spans="1:30" x14ac:dyDescent="0.2">
      <c r="A16" s="19" t="s">
        <v>71</v>
      </c>
      <c r="B16" s="18" t="s">
        <v>299</v>
      </c>
      <c r="C16" s="18"/>
      <c r="D16" s="23"/>
      <c r="E16" s="23"/>
      <c r="F16" s="23"/>
      <c r="G16" s="23"/>
      <c r="H16" s="23"/>
      <c r="I16" s="24">
        <f>X11</f>
        <v>0</v>
      </c>
      <c r="J16" s="24">
        <f t="shared" ref="J16:M16" si="10">Y11</f>
        <v>20</v>
      </c>
      <c r="K16" s="24">
        <f t="shared" si="10"/>
        <v>20</v>
      </c>
      <c r="L16" s="24">
        <f t="shared" si="10"/>
        <v>30</v>
      </c>
      <c r="M16" s="24">
        <f t="shared" si="10"/>
        <v>30</v>
      </c>
      <c r="N16" s="18"/>
      <c r="O16" s="18"/>
      <c r="Q16" s="19" t="s">
        <v>305</v>
      </c>
      <c r="R16" s="18" t="s">
        <v>299</v>
      </c>
      <c r="S16" s="23">
        <v>0</v>
      </c>
      <c r="T16" s="23">
        <v>0.25</v>
      </c>
      <c r="U16" s="23">
        <v>0.25</v>
      </c>
      <c r="V16" s="23">
        <v>0.5</v>
      </c>
      <c r="W16" s="23">
        <v>0.7</v>
      </c>
      <c r="X16" s="24"/>
      <c r="Y16" s="24"/>
      <c r="Z16" s="24"/>
      <c r="AA16" s="24"/>
      <c r="AB16" s="24"/>
      <c r="AC16" s="18"/>
      <c r="AD16" s="18"/>
    </row>
    <row r="17" spans="1:30" ht="25.5" x14ac:dyDescent="0.2">
      <c r="A17" s="19" t="s">
        <v>307</v>
      </c>
      <c r="B17" s="18" t="s">
        <v>298</v>
      </c>
      <c r="C17" s="18"/>
      <c r="D17" s="23"/>
      <c r="E17" s="23"/>
      <c r="F17" s="23"/>
      <c r="G17" s="23"/>
      <c r="H17" s="23"/>
      <c r="I17" s="24"/>
      <c r="J17" s="24"/>
      <c r="K17" s="24"/>
      <c r="L17" s="24"/>
      <c r="M17" s="24"/>
      <c r="N17" s="18"/>
      <c r="O17" s="18">
        <f>AD24</f>
        <v>0</v>
      </c>
      <c r="Q17" s="19" t="s">
        <v>79</v>
      </c>
      <c r="R17" s="18" t="s">
        <v>299</v>
      </c>
      <c r="S17" s="23"/>
      <c r="T17" s="23"/>
      <c r="U17" s="23"/>
      <c r="V17" s="23"/>
      <c r="W17" s="23"/>
      <c r="X17" s="24">
        <v>0</v>
      </c>
      <c r="Y17" s="24">
        <v>0</v>
      </c>
      <c r="Z17" s="24">
        <v>10</v>
      </c>
      <c r="AA17" s="24">
        <v>10</v>
      </c>
      <c r="AB17" s="24">
        <v>30</v>
      </c>
      <c r="AC17" s="18"/>
      <c r="AD17" s="18"/>
    </row>
    <row r="18" spans="1:30" x14ac:dyDescent="0.2">
      <c r="A18" s="19" t="s">
        <v>306</v>
      </c>
      <c r="B18" s="18" t="s">
        <v>299</v>
      </c>
      <c r="C18" s="18"/>
      <c r="D18" s="23">
        <f>S15</f>
        <v>0</v>
      </c>
      <c r="E18" s="23">
        <f t="shared" ref="E18:H18" si="11">T15</f>
        <v>0.6</v>
      </c>
      <c r="F18" s="23">
        <f t="shared" si="11"/>
        <v>0.6</v>
      </c>
      <c r="G18" s="23">
        <f t="shared" si="11"/>
        <v>0.8</v>
      </c>
      <c r="H18" s="23">
        <f t="shared" si="11"/>
        <v>1</v>
      </c>
      <c r="I18" s="24"/>
      <c r="J18" s="24"/>
      <c r="K18" s="24"/>
      <c r="L18" s="24"/>
      <c r="M18" s="24"/>
      <c r="N18" s="18"/>
      <c r="O18" s="18"/>
      <c r="Q18" s="19" t="s">
        <v>300</v>
      </c>
      <c r="R18" s="18" t="s">
        <v>298</v>
      </c>
      <c r="S18" s="23">
        <v>0</v>
      </c>
      <c r="T18" s="23">
        <v>0</v>
      </c>
      <c r="U18" s="23">
        <v>0.1</v>
      </c>
      <c r="V18" s="23">
        <v>0.15</v>
      </c>
      <c r="W18" s="23">
        <v>0.2</v>
      </c>
      <c r="X18" s="24">
        <v>0</v>
      </c>
      <c r="Y18" s="24">
        <v>0</v>
      </c>
      <c r="Z18" s="24">
        <v>2.5</v>
      </c>
      <c r="AA18" s="24">
        <v>3.75</v>
      </c>
      <c r="AB18" s="24">
        <v>5</v>
      </c>
      <c r="AC18" s="18"/>
      <c r="AD18" s="18"/>
    </row>
    <row r="19" spans="1:30" x14ac:dyDescent="0.2">
      <c r="A19" s="19" t="s">
        <v>67</v>
      </c>
      <c r="B19" s="18" t="s">
        <v>299</v>
      </c>
      <c r="C19" s="18"/>
      <c r="D19" s="23">
        <f>S7</f>
        <v>0</v>
      </c>
      <c r="E19" s="23">
        <f t="shared" ref="E19:H19" si="12">T7</f>
        <v>0.14000000000000001</v>
      </c>
      <c r="F19" s="23">
        <f t="shared" si="12"/>
        <v>0.14000000000000001</v>
      </c>
      <c r="G19" s="23">
        <f t="shared" si="12"/>
        <v>0.16</v>
      </c>
      <c r="H19" s="23">
        <f t="shared" si="12"/>
        <v>0.2</v>
      </c>
      <c r="I19" s="24"/>
      <c r="J19" s="24"/>
      <c r="K19" s="24"/>
      <c r="L19" s="24"/>
      <c r="M19" s="24"/>
      <c r="N19" s="18"/>
      <c r="O19" s="18"/>
      <c r="Q19" s="19" t="s">
        <v>297</v>
      </c>
      <c r="R19" s="18" t="s">
        <v>298</v>
      </c>
      <c r="S19" s="23"/>
      <c r="T19" s="23"/>
      <c r="U19" s="23"/>
      <c r="V19" s="23"/>
      <c r="W19" s="23"/>
      <c r="X19" s="24"/>
      <c r="Y19" s="24"/>
      <c r="Z19" s="24"/>
      <c r="AA19" s="24"/>
      <c r="AB19" s="24"/>
      <c r="AC19" s="18">
        <v>270</v>
      </c>
      <c r="AD19" s="18">
        <v>90</v>
      </c>
    </row>
    <row r="20" spans="1:30" ht="25.5" x14ac:dyDescent="0.2">
      <c r="A20" s="19" t="s">
        <v>68</v>
      </c>
      <c r="B20" s="18" t="s">
        <v>299</v>
      </c>
      <c r="C20" s="18"/>
      <c r="D20" s="23">
        <f>S8</f>
        <v>0</v>
      </c>
      <c r="E20" s="23">
        <f t="shared" ref="E20:H20" si="13">T8</f>
        <v>0.75</v>
      </c>
      <c r="F20" s="23">
        <f t="shared" si="13"/>
        <v>1</v>
      </c>
      <c r="G20" s="23">
        <f t="shared" si="13"/>
        <v>1</v>
      </c>
      <c r="H20" s="23">
        <f t="shared" si="13"/>
        <v>1</v>
      </c>
      <c r="I20" s="24"/>
      <c r="J20" s="24"/>
      <c r="K20" s="24"/>
      <c r="L20" s="24"/>
      <c r="M20" s="24"/>
      <c r="N20" s="18"/>
      <c r="O20" s="18"/>
      <c r="Q20" s="19" t="s">
        <v>302</v>
      </c>
      <c r="R20" s="18" t="s">
        <v>298</v>
      </c>
      <c r="S20" s="23">
        <v>0</v>
      </c>
      <c r="T20" s="23">
        <v>0.75</v>
      </c>
      <c r="U20" s="23">
        <v>0.75</v>
      </c>
      <c r="V20" s="23">
        <v>0.75</v>
      </c>
      <c r="W20" s="23">
        <v>0.75</v>
      </c>
      <c r="X20" s="24"/>
      <c r="Y20" s="24"/>
      <c r="Z20" s="24"/>
      <c r="AA20" s="24"/>
      <c r="AB20" s="24"/>
      <c r="AC20" s="18"/>
      <c r="AD20" s="18"/>
    </row>
    <row r="21" spans="1:30" x14ac:dyDescent="0.2">
      <c r="A21" s="19" t="s">
        <v>79</v>
      </c>
      <c r="B21" s="18" t="s">
        <v>299</v>
      </c>
      <c r="C21" s="18"/>
      <c r="D21" s="23"/>
      <c r="E21" s="23"/>
      <c r="F21" s="23"/>
      <c r="G21" s="23"/>
      <c r="H21" s="23"/>
      <c r="I21" s="24">
        <f>X17</f>
        <v>0</v>
      </c>
      <c r="J21" s="24">
        <f t="shared" ref="J21:M21" si="14">Y17</f>
        <v>0</v>
      </c>
      <c r="K21" s="24">
        <f t="shared" si="14"/>
        <v>10</v>
      </c>
      <c r="L21" s="24">
        <f t="shared" si="14"/>
        <v>10</v>
      </c>
      <c r="M21" s="24">
        <f t="shared" si="14"/>
        <v>30</v>
      </c>
      <c r="N21" s="18"/>
      <c r="O21" s="18"/>
      <c r="Q21" s="19" t="s">
        <v>304</v>
      </c>
      <c r="R21" s="18" t="s">
        <v>298</v>
      </c>
      <c r="S21" s="23">
        <v>0</v>
      </c>
      <c r="T21" s="23">
        <v>0.5</v>
      </c>
      <c r="U21" s="23">
        <v>0.5</v>
      </c>
      <c r="V21" s="23">
        <v>0.5</v>
      </c>
      <c r="W21" s="23">
        <v>0.5</v>
      </c>
      <c r="X21" s="24"/>
      <c r="Y21" s="24"/>
      <c r="Z21" s="24"/>
      <c r="AA21" s="24"/>
      <c r="AB21" s="24"/>
      <c r="AC21" s="18"/>
      <c r="AD21" s="18"/>
    </row>
    <row r="22" spans="1:30" x14ac:dyDescent="0.2">
      <c r="A22" s="19" t="s">
        <v>308</v>
      </c>
      <c r="B22" s="18" t="s">
        <v>299</v>
      </c>
      <c r="C22" s="18"/>
      <c r="D22" s="23">
        <f>S3</f>
        <v>0</v>
      </c>
      <c r="E22" s="23">
        <f t="shared" ref="E22:H22" si="15">T3</f>
        <v>0.04</v>
      </c>
      <c r="F22" s="23">
        <f t="shared" si="15"/>
        <v>0.06</v>
      </c>
      <c r="G22" s="23">
        <f t="shared" si="15"/>
        <v>0.1</v>
      </c>
      <c r="H22" s="23">
        <f t="shared" si="15"/>
        <v>0.13</v>
      </c>
      <c r="I22" s="24"/>
      <c r="J22" s="24"/>
      <c r="K22" s="24"/>
      <c r="L22" s="24"/>
      <c r="M22" s="24"/>
      <c r="N22" s="18"/>
      <c r="O22" s="18"/>
      <c r="Q22" s="19" t="s">
        <v>301</v>
      </c>
      <c r="R22" s="18" t="s">
        <v>298</v>
      </c>
      <c r="S22" s="23"/>
      <c r="T22" s="23"/>
      <c r="U22" s="23"/>
      <c r="V22" s="23"/>
      <c r="W22" s="23"/>
      <c r="X22" s="24"/>
      <c r="Y22" s="24"/>
      <c r="Z22" s="24"/>
      <c r="AA22" s="24"/>
      <c r="AB22" s="24"/>
      <c r="AC22" s="18"/>
      <c r="AD22" s="18">
        <v>400</v>
      </c>
    </row>
    <row r="23" spans="1:30" x14ac:dyDescent="0.2">
      <c r="A23" s="19" t="s">
        <v>65</v>
      </c>
      <c r="B23" s="18" t="s">
        <v>299</v>
      </c>
      <c r="C23" s="18"/>
      <c r="D23" s="23">
        <f>S5</f>
        <v>0</v>
      </c>
      <c r="E23" s="23">
        <f t="shared" ref="E23:H23" si="16">T5</f>
        <v>0.14000000000000001</v>
      </c>
      <c r="F23" s="23">
        <f t="shared" si="16"/>
        <v>0.14000000000000001</v>
      </c>
      <c r="G23" s="23">
        <f t="shared" si="16"/>
        <v>0.16</v>
      </c>
      <c r="H23" s="23">
        <f t="shared" si="16"/>
        <v>0.2</v>
      </c>
      <c r="I23" s="24"/>
      <c r="J23" s="24"/>
      <c r="K23" s="24"/>
      <c r="L23" s="24"/>
      <c r="M23" s="24"/>
      <c r="N23" s="18"/>
      <c r="O23" s="18"/>
      <c r="Q23" s="19" t="s">
        <v>87</v>
      </c>
      <c r="R23" s="18" t="s">
        <v>298</v>
      </c>
      <c r="S23" s="23"/>
      <c r="T23" s="23"/>
      <c r="U23" s="23"/>
      <c r="V23" s="23"/>
      <c r="W23" s="23"/>
      <c r="X23" s="24"/>
      <c r="Y23" s="24"/>
      <c r="Z23" s="24"/>
      <c r="AA23" s="24"/>
      <c r="AB23" s="24"/>
      <c r="AC23" s="18"/>
      <c r="AD23" s="18">
        <v>800</v>
      </c>
    </row>
    <row r="24" spans="1:30" x14ac:dyDescent="0.2">
      <c r="A24" s="19" t="s">
        <v>64</v>
      </c>
      <c r="B24" s="18" t="s">
        <v>299</v>
      </c>
      <c r="C24" s="18"/>
      <c r="D24" s="23"/>
      <c r="E24" s="23"/>
      <c r="F24" s="23"/>
      <c r="G24" s="23"/>
      <c r="H24" s="23"/>
      <c r="I24" s="24">
        <f>X4</f>
        <v>0</v>
      </c>
      <c r="J24" s="24">
        <f t="shared" ref="J24:M24" si="17">Y4</f>
        <v>0.7</v>
      </c>
      <c r="K24" s="24">
        <f t="shared" si="17"/>
        <v>0.7</v>
      </c>
      <c r="L24" s="24">
        <f t="shared" si="17"/>
        <v>0.8</v>
      </c>
      <c r="M24" s="24">
        <f t="shared" si="17"/>
        <v>1</v>
      </c>
      <c r="N24" s="18"/>
      <c r="O24" s="18"/>
      <c r="Q24" s="19" t="s">
        <v>307</v>
      </c>
      <c r="R24" s="18" t="s">
        <v>298</v>
      </c>
      <c r="S24" s="23"/>
      <c r="T24" s="23"/>
      <c r="U24" s="23"/>
      <c r="V24" s="23"/>
      <c r="W24" s="23"/>
      <c r="X24" s="24"/>
      <c r="Y24" s="24"/>
      <c r="Z24" s="24"/>
      <c r="AA24" s="24"/>
      <c r="AB24" s="24"/>
      <c r="AC24" s="18"/>
      <c r="AD24" s="18">
        <v>0</v>
      </c>
    </row>
  </sheetData>
  <mergeCells count="4">
    <mergeCell ref="D1:H1"/>
    <mergeCell ref="I1:M1"/>
    <mergeCell ref="S1:W1"/>
    <mergeCell ref="X1:AB1"/>
  </mergeCells>
  <pageMargins left="0.7" right="0.7" top="0.75" bottom="0.75" header="0.3" footer="0.3"/>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tabColor theme="7"/>
  </sheetPr>
  <dimension ref="A2:L27"/>
  <sheetViews>
    <sheetView view="pageLayout" zoomScaleNormal="100" workbookViewId="0">
      <selection activeCell="C23" sqref="C23:D23"/>
    </sheetView>
  </sheetViews>
  <sheetFormatPr defaultRowHeight="15" x14ac:dyDescent="0.25"/>
  <cols>
    <col min="1" max="1" width="2.5703125" customWidth="1"/>
  </cols>
  <sheetData>
    <row r="2" spans="1:12" x14ac:dyDescent="0.25">
      <c r="A2" s="344" t="s">
        <v>713</v>
      </c>
      <c r="B2" s="344"/>
      <c r="C2" s="344"/>
      <c r="D2" s="344"/>
      <c r="E2" s="344"/>
      <c r="F2" s="344"/>
      <c r="G2" s="344"/>
      <c r="H2" s="344"/>
      <c r="I2" s="344"/>
      <c r="J2" s="344"/>
      <c r="K2" s="344"/>
      <c r="L2" s="344"/>
    </row>
    <row r="3" spans="1:12" ht="33.6" customHeight="1" x14ac:dyDescent="0.25">
      <c r="A3" s="345"/>
      <c r="B3" s="345"/>
      <c r="C3" s="345"/>
      <c r="D3" s="345"/>
      <c r="E3" s="345"/>
      <c r="F3" s="345"/>
      <c r="G3" s="345"/>
      <c r="H3" s="345"/>
      <c r="I3" s="345"/>
      <c r="J3" s="345"/>
      <c r="K3" s="345"/>
      <c r="L3" s="345"/>
    </row>
    <row r="4" spans="1:12" ht="14.45" customHeight="1" x14ac:dyDescent="0.25">
      <c r="A4" s="34" t="s">
        <v>702</v>
      </c>
      <c r="B4" s="346" t="s">
        <v>703</v>
      </c>
      <c r="C4" s="347"/>
      <c r="D4" s="347"/>
      <c r="E4" s="347"/>
      <c r="F4" s="347"/>
      <c r="G4" s="347"/>
      <c r="H4" s="347"/>
      <c r="I4" s="347"/>
      <c r="J4" s="347"/>
      <c r="K4" s="347"/>
      <c r="L4" s="347"/>
    </row>
    <row r="5" spans="1:12" ht="29.25" customHeight="1" x14ac:dyDescent="0.25">
      <c r="A5" s="348" t="s">
        <v>836</v>
      </c>
      <c r="B5" s="349"/>
      <c r="C5" s="349"/>
      <c r="D5" s="349"/>
      <c r="E5" s="349"/>
      <c r="F5" s="349"/>
      <c r="G5" s="349"/>
      <c r="H5" s="349"/>
      <c r="I5" s="349"/>
      <c r="J5" s="349"/>
      <c r="K5" s="349"/>
      <c r="L5" s="349"/>
    </row>
    <row r="6" spans="1:12" x14ac:dyDescent="0.25">
      <c r="A6" s="350"/>
      <c r="B6" s="350"/>
      <c r="C6" s="351" t="s">
        <v>704</v>
      </c>
      <c r="D6" s="352"/>
      <c r="E6" s="351" t="s">
        <v>705</v>
      </c>
      <c r="F6" s="352"/>
      <c r="G6" s="351" t="s">
        <v>706</v>
      </c>
      <c r="H6" s="352"/>
      <c r="I6" s="351" t="s">
        <v>707</v>
      </c>
      <c r="J6" s="352"/>
      <c r="K6" s="351" t="s">
        <v>708</v>
      </c>
      <c r="L6" s="352"/>
    </row>
    <row r="7" spans="1:12" ht="14.45" customHeight="1" x14ac:dyDescent="0.25">
      <c r="A7" s="351" t="s">
        <v>709</v>
      </c>
      <c r="B7" s="354"/>
      <c r="C7" s="354"/>
      <c r="D7" s="354"/>
      <c r="E7" s="354"/>
      <c r="F7" s="354"/>
      <c r="G7" s="354"/>
      <c r="H7" s="354"/>
      <c r="I7" s="354"/>
      <c r="J7" s="354"/>
      <c r="K7" s="354"/>
      <c r="L7" s="354"/>
    </row>
    <row r="8" spans="1:12" x14ac:dyDescent="0.25">
      <c r="A8" s="106"/>
      <c r="B8" s="107"/>
      <c r="C8" s="105" t="s">
        <v>710</v>
      </c>
      <c r="D8" s="105" t="s">
        <v>711</v>
      </c>
      <c r="E8" s="105" t="s">
        <v>710</v>
      </c>
      <c r="F8" s="105" t="s">
        <v>711</v>
      </c>
      <c r="G8" s="105" t="s">
        <v>710</v>
      </c>
      <c r="H8" s="105" t="s">
        <v>711</v>
      </c>
      <c r="I8" s="105" t="s">
        <v>710</v>
      </c>
      <c r="J8" s="105" t="s">
        <v>711</v>
      </c>
      <c r="K8" s="105" t="s">
        <v>710</v>
      </c>
      <c r="L8" s="105" t="s">
        <v>711</v>
      </c>
    </row>
    <row r="9" spans="1:12" x14ac:dyDescent="0.25">
      <c r="A9" s="350" t="s">
        <v>134</v>
      </c>
      <c r="B9" s="350"/>
      <c r="C9" s="215"/>
      <c r="D9" s="215"/>
      <c r="E9" s="215"/>
      <c r="F9" s="215"/>
      <c r="G9" s="215"/>
      <c r="H9" s="215"/>
      <c r="I9" s="216"/>
      <c r="J9" s="216"/>
      <c r="K9" s="126">
        <f>IF(E9="",C9,AVERAGE(C9,E9,G9,I9))</f>
        <v>0</v>
      </c>
      <c r="L9" s="126">
        <f>IF(F9="",D9,AVERAGE(D9,F9,H9,J9))</f>
        <v>0</v>
      </c>
    </row>
    <row r="10" spans="1:12" x14ac:dyDescent="0.25">
      <c r="A10" s="350" t="s">
        <v>135</v>
      </c>
      <c r="B10" s="350"/>
      <c r="C10" s="215"/>
      <c r="D10" s="215"/>
      <c r="E10" s="215"/>
      <c r="F10" s="215"/>
      <c r="G10" s="215"/>
      <c r="H10" s="215"/>
      <c r="I10" s="216"/>
      <c r="J10" s="216"/>
      <c r="K10" s="126">
        <f t="shared" ref="K10:L18" si="0">IF(E10="",C10,AVERAGE(C10,E10,G10,I10))</f>
        <v>0</v>
      </c>
      <c r="L10" s="126">
        <f t="shared" si="0"/>
        <v>0</v>
      </c>
    </row>
    <row r="11" spans="1:12" x14ac:dyDescent="0.25">
      <c r="A11" s="350" t="s">
        <v>136</v>
      </c>
      <c r="B11" s="350"/>
      <c r="C11" s="215"/>
      <c r="D11" s="215"/>
      <c r="E11" s="215"/>
      <c r="F11" s="215"/>
      <c r="G11" s="215"/>
      <c r="H11" s="215"/>
      <c r="I11" s="216"/>
      <c r="J11" s="216"/>
      <c r="K11" s="126">
        <f>IF(E11="",C11,AVERAGE(C11,E11,G11,I11))</f>
        <v>0</v>
      </c>
      <c r="L11" s="126">
        <f t="shared" si="0"/>
        <v>0</v>
      </c>
    </row>
    <row r="12" spans="1:12" x14ac:dyDescent="0.25">
      <c r="A12" s="350" t="s">
        <v>137</v>
      </c>
      <c r="B12" s="350"/>
      <c r="C12" s="215"/>
      <c r="D12" s="215"/>
      <c r="E12" s="215"/>
      <c r="F12" s="215"/>
      <c r="G12" s="215"/>
      <c r="H12" s="215"/>
      <c r="I12" s="216"/>
      <c r="J12" s="216"/>
      <c r="K12" s="126">
        <f t="shared" si="0"/>
        <v>0</v>
      </c>
      <c r="L12" s="126">
        <f t="shared" si="0"/>
        <v>0</v>
      </c>
    </row>
    <row r="13" spans="1:12" x14ac:dyDescent="0.25">
      <c r="A13" s="350" t="s">
        <v>138</v>
      </c>
      <c r="B13" s="350"/>
      <c r="C13" s="215"/>
      <c r="D13" s="215"/>
      <c r="E13" s="215"/>
      <c r="F13" s="215"/>
      <c r="G13" s="215"/>
      <c r="H13" s="215"/>
      <c r="I13" s="216"/>
      <c r="J13" s="216"/>
      <c r="K13" s="126">
        <f t="shared" si="0"/>
        <v>0</v>
      </c>
      <c r="L13" s="126">
        <f t="shared" si="0"/>
        <v>0</v>
      </c>
    </row>
    <row r="14" spans="1:12" x14ac:dyDescent="0.25">
      <c r="A14" s="350" t="s">
        <v>139</v>
      </c>
      <c r="B14" s="350"/>
      <c r="C14" s="215"/>
      <c r="D14" s="215"/>
      <c r="E14" s="215"/>
      <c r="F14" s="215"/>
      <c r="G14" s="215"/>
      <c r="H14" s="215"/>
      <c r="I14" s="216"/>
      <c r="J14" s="216"/>
      <c r="K14" s="126">
        <f t="shared" si="0"/>
        <v>0</v>
      </c>
      <c r="L14" s="126">
        <f t="shared" si="0"/>
        <v>0</v>
      </c>
    </row>
    <row r="15" spans="1:12" x14ac:dyDescent="0.25">
      <c r="A15" s="350" t="s">
        <v>140</v>
      </c>
      <c r="B15" s="350"/>
      <c r="C15" s="215"/>
      <c r="D15" s="215"/>
      <c r="E15" s="215"/>
      <c r="F15" s="215"/>
      <c r="G15" s="215"/>
      <c r="H15" s="215"/>
      <c r="I15" s="216"/>
      <c r="J15" s="216"/>
      <c r="K15" s="126">
        <f t="shared" si="0"/>
        <v>0</v>
      </c>
      <c r="L15" s="126">
        <f t="shared" si="0"/>
        <v>0</v>
      </c>
    </row>
    <row r="16" spans="1:12" x14ac:dyDescent="0.25">
      <c r="A16" s="350" t="s">
        <v>141</v>
      </c>
      <c r="B16" s="350"/>
      <c r="C16" s="215"/>
      <c r="D16" s="215"/>
      <c r="E16" s="215"/>
      <c r="F16" s="215"/>
      <c r="G16" s="215"/>
      <c r="H16" s="215"/>
      <c r="I16" s="216"/>
      <c r="J16" s="216"/>
      <c r="K16" s="126">
        <f t="shared" si="0"/>
        <v>0</v>
      </c>
      <c r="L16" s="126">
        <f t="shared" si="0"/>
        <v>0</v>
      </c>
    </row>
    <row r="17" spans="1:12" x14ac:dyDescent="0.25">
      <c r="A17" s="350" t="s">
        <v>142</v>
      </c>
      <c r="B17" s="350"/>
      <c r="C17" s="215"/>
      <c r="D17" s="215"/>
      <c r="E17" s="215"/>
      <c r="F17" s="215"/>
      <c r="G17" s="215"/>
      <c r="H17" s="215"/>
      <c r="I17" s="216"/>
      <c r="J17" s="216"/>
      <c r="K17" s="126">
        <f t="shared" si="0"/>
        <v>0</v>
      </c>
      <c r="L17" s="126">
        <f t="shared" si="0"/>
        <v>0</v>
      </c>
    </row>
    <row r="18" spans="1:12" x14ac:dyDescent="0.25">
      <c r="A18" s="350" t="s">
        <v>143</v>
      </c>
      <c r="B18" s="350"/>
      <c r="C18" s="215"/>
      <c r="D18" s="215"/>
      <c r="E18" s="215"/>
      <c r="F18" s="215"/>
      <c r="G18" s="215"/>
      <c r="H18" s="215"/>
      <c r="I18" s="216"/>
      <c r="J18" s="216"/>
      <c r="K18" s="126">
        <f t="shared" si="0"/>
        <v>0</v>
      </c>
      <c r="L18" s="126">
        <f t="shared" si="0"/>
        <v>0</v>
      </c>
    </row>
    <row r="19" spans="1:12" x14ac:dyDescent="0.25">
      <c r="A19" s="353" t="s">
        <v>128</v>
      </c>
      <c r="B19" s="353"/>
      <c r="C19" s="126">
        <f>SUM(C9:C18)</f>
        <v>0</v>
      </c>
      <c r="D19" s="126">
        <f t="shared" ref="D19:J19" si="1">SUM(D9:D18)</f>
        <v>0</v>
      </c>
      <c r="E19" s="126">
        <f t="shared" si="1"/>
        <v>0</v>
      </c>
      <c r="F19" s="126">
        <f t="shared" si="1"/>
        <v>0</v>
      </c>
      <c r="G19" s="126">
        <f t="shared" si="1"/>
        <v>0</v>
      </c>
      <c r="H19" s="126">
        <f t="shared" si="1"/>
        <v>0</v>
      </c>
      <c r="I19" s="126">
        <f t="shared" si="1"/>
        <v>0</v>
      </c>
      <c r="J19" s="126">
        <f t="shared" si="1"/>
        <v>0</v>
      </c>
      <c r="K19" s="126">
        <f>IF(E19=0,C19,AVERAGE(C19,E19,G19,I19))</f>
        <v>0</v>
      </c>
      <c r="L19" s="126">
        <f>IF(F19=0,D19,AVERAGE(D19,F19,H19,J19))</f>
        <v>0</v>
      </c>
    </row>
    <row r="20" spans="1:12" x14ac:dyDescent="0.25">
      <c r="A20" s="351" t="s">
        <v>712</v>
      </c>
      <c r="B20" s="354"/>
      <c r="C20" s="354"/>
      <c r="D20" s="354"/>
      <c r="E20" s="354"/>
      <c r="F20" s="354"/>
      <c r="G20" s="354"/>
      <c r="H20" s="354"/>
      <c r="I20" s="354"/>
      <c r="J20" s="354"/>
      <c r="K20" s="354"/>
      <c r="L20" s="354"/>
    </row>
    <row r="21" spans="1:12" x14ac:dyDescent="0.25">
      <c r="A21" s="106"/>
      <c r="B21" s="107"/>
      <c r="C21" s="107"/>
      <c r="D21" s="107"/>
      <c r="E21" s="107"/>
      <c r="F21" s="107"/>
      <c r="G21" s="107"/>
      <c r="H21" s="107"/>
      <c r="I21" s="107"/>
      <c r="J21" s="107"/>
      <c r="K21" s="107"/>
      <c r="L21" s="107"/>
    </row>
    <row r="22" spans="1:12" x14ac:dyDescent="0.25">
      <c r="A22" s="351" t="s">
        <v>124</v>
      </c>
      <c r="B22" s="352"/>
      <c r="C22" s="355"/>
      <c r="D22" s="356"/>
      <c r="E22" s="355"/>
      <c r="F22" s="356"/>
      <c r="G22" s="355"/>
      <c r="H22" s="356"/>
      <c r="I22" s="355"/>
      <c r="J22" s="356"/>
      <c r="K22" s="357" t="str">
        <f>IF(C22="","",IF(E22="",C22,AVERAGE(C22:J22)))</f>
        <v/>
      </c>
      <c r="L22" s="358"/>
    </row>
    <row r="23" spans="1:12" x14ac:dyDescent="0.25">
      <c r="A23" s="351" t="s">
        <v>125</v>
      </c>
      <c r="B23" s="352"/>
      <c r="C23" s="355"/>
      <c r="D23" s="356"/>
      <c r="E23" s="355"/>
      <c r="F23" s="356"/>
      <c r="G23" s="355"/>
      <c r="H23" s="356"/>
      <c r="I23" s="355"/>
      <c r="J23" s="356"/>
      <c r="K23" s="357" t="str">
        <f t="shared" ref="K23:K25" si="2">IF(C23="","",IF(E23="",C23,AVERAGE(C23:J23)))</f>
        <v/>
      </c>
      <c r="L23" s="358"/>
    </row>
    <row r="24" spans="1:12" x14ac:dyDescent="0.25">
      <c r="A24" s="351" t="s">
        <v>126</v>
      </c>
      <c r="B24" s="352"/>
      <c r="C24" s="355"/>
      <c r="D24" s="356"/>
      <c r="E24" s="355"/>
      <c r="F24" s="356"/>
      <c r="G24" s="355"/>
      <c r="H24" s="356"/>
      <c r="I24" s="355"/>
      <c r="J24" s="356"/>
      <c r="K24" s="357" t="str">
        <f t="shared" si="2"/>
        <v/>
      </c>
      <c r="L24" s="358"/>
    </row>
    <row r="25" spans="1:12" x14ac:dyDescent="0.25">
      <c r="A25" s="351" t="s">
        <v>615</v>
      </c>
      <c r="B25" s="352"/>
      <c r="C25" s="355"/>
      <c r="D25" s="356"/>
      <c r="E25" s="355"/>
      <c r="F25" s="356"/>
      <c r="G25" s="355"/>
      <c r="H25" s="356"/>
      <c r="I25" s="355"/>
      <c r="J25" s="356"/>
      <c r="K25" s="357" t="str">
        <f t="shared" si="2"/>
        <v/>
      </c>
      <c r="L25" s="358"/>
    </row>
    <row r="26" spans="1:12" x14ac:dyDescent="0.25">
      <c r="A26" s="361" t="s">
        <v>128</v>
      </c>
      <c r="B26" s="361"/>
      <c r="C26" s="359">
        <f>SUM(C22:D25)</f>
        <v>0</v>
      </c>
      <c r="D26" s="360"/>
      <c r="E26" s="359">
        <f>SUM(E22:F25)</f>
        <v>0</v>
      </c>
      <c r="F26" s="360"/>
      <c r="G26" s="359">
        <f>SUM(G22:H25)</f>
        <v>0</v>
      </c>
      <c r="H26" s="360"/>
      <c r="I26" s="359">
        <f>SUM(I22:J25)</f>
        <v>0</v>
      </c>
      <c r="J26" s="360"/>
      <c r="K26" s="359">
        <f>SUM(K22:L25)</f>
        <v>0</v>
      </c>
      <c r="L26" s="360"/>
    </row>
    <row r="27" spans="1:12" ht="14.45" customHeight="1" x14ac:dyDescent="0.25">
      <c r="A27" s="96"/>
      <c r="B27" s="96"/>
      <c r="C27" s="96"/>
      <c r="D27" s="96"/>
      <c r="E27" s="96"/>
      <c r="F27" s="96"/>
      <c r="G27" s="96"/>
      <c r="H27" s="96"/>
      <c r="I27" s="96"/>
      <c r="J27" s="96"/>
      <c r="K27" s="96"/>
      <c r="L27" s="96"/>
    </row>
  </sheetData>
  <mergeCells count="52">
    <mergeCell ref="K26:L26"/>
    <mergeCell ref="A25:B25"/>
    <mergeCell ref="C25:D25"/>
    <mergeCell ref="E25:F25"/>
    <mergeCell ref="G25:H25"/>
    <mergeCell ref="I25:J25"/>
    <mergeCell ref="K25:L25"/>
    <mergeCell ref="A26:B26"/>
    <mergeCell ref="C26:D26"/>
    <mergeCell ref="E26:F26"/>
    <mergeCell ref="G26:H26"/>
    <mergeCell ref="I26:J26"/>
    <mergeCell ref="K24:L24"/>
    <mergeCell ref="A23:B23"/>
    <mergeCell ref="C23:D23"/>
    <mergeCell ref="E23:F23"/>
    <mergeCell ref="G23:H23"/>
    <mergeCell ref="I23:J23"/>
    <mergeCell ref="K23:L23"/>
    <mergeCell ref="A24:B24"/>
    <mergeCell ref="C24:D24"/>
    <mergeCell ref="E24:F24"/>
    <mergeCell ref="G24:H24"/>
    <mergeCell ref="I24:J24"/>
    <mergeCell ref="A20:L20"/>
    <mergeCell ref="A22:B22"/>
    <mergeCell ref="C22:D22"/>
    <mergeCell ref="E22:F22"/>
    <mergeCell ref="G22:H22"/>
    <mergeCell ref="I22:J22"/>
    <mergeCell ref="K22:L22"/>
    <mergeCell ref="A19:B19"/>
    <mergeCell ref="A7:L7"/>
    <mergeCell ref="A9:B9"/>
    <mergeCell ref="A10:B10"/>
    <mergeCell ref="A11:B11"/>
    <mergeCell ref="A12:B12"/>
    <mergeCell ref="A13:B13"/>
    <mergeCell ref="A14:B14"/>
    <mergeCell ref="A15:B15"/>
    <mergeCell ref="A16:B16"/>
    <mergeCell ref="A17:B17"/>
    <mergeCell ref="A18:B18"/>
    <mergeCell ref="A2:L3"/>
    <mergeCell ref="B4:L4"/>
    <mergeCell ref="A5:L5"/>
    <mergeCell ref="A6:B6"/>
    <mergeCell ref="C6:D6"/>
    <mergeCell ref="E6:F6"/>
    <mergeCell ref="G6:H6"/>
    <mergeCell ref="I6:J6"/>
    <mergeCell ref="K6:L6"/>
  </mergeCells>
  <pageMargins left="0.7" right="0.7" top="0.75" bottom="0.75" header="0.3" footer="0.3"/>
  <pageSetup scale="80" orientation="portrait" r:id="rId1"/>
  <headerFooter>
    <oddHeader xml:space="preserve">&amp;LNYC SCA&amp;CGSG End Use
</oddHeader>
    <oddFooter xml:space="preserve">&amp;R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tabColor theme="8"/>
  </sheetPr>
  <dimension ref="A1:K54"/>
  <sheetViews>
    <sheetView showWhiteSpace="0" view="pageLayout" zoomScale="85" zoomScaleNormal="100" zoomScaleSheetLayoutView="100" zoomScalePageLayoutView="85" workbookViewId="0">
      <selection activeCell="G26" sqref="G26"/>
    </sheetView>
  </sheetViews>
  <sheetFormatPr defaultRowHeight="15" x14ac:dyDescent="0.25"/>
  <cols>
    <col min="1" max="1" width="3.42578125" customWidth="1"/>
    <col min="2" max="2" width="25.42578125" customWidth="1"/>
    <col min="3" max="3" width="8.42578125" customWidth="1"/>
    <col min="4" max="4" width="12.42578125" customWidth="1"/>
    <col min="5" max="5" width="14.5703125" customWidth="1"/>
    <col min="6" max="6" width="4.85546875" customWidth="1"/>
    <col min="7" max="7" width="20.140625" customWidth="1"/>
    <col min="8" max="8" width="13" customWidth="1"/>
    <col min="10" max="10" width="20.85546875" customWidth="1"/>
    <col min="11" max="11" width="22" customWidth="1"/>
  </cols>
  <sheetData>
    <row r="1" spans="1:11" ht="15.75" thickBot="1" x14ac:dyDescent="0.3"/>
    <row r="2" spans="1:11" ht="15.75" thickBot="1" x14ac:dyDescent="0.3">
      <c r="B2" s="362" t="s">
        <v>794</v>
      </c>
      <c r="C2" s="363"/>
      <c r="D2" s="363"/>
      <c r="E2" s="363"/>
      <c r="F2" s="363"/>
      <c r="G2" s="363"/>
      <c r="H2" s="364"/>
    </row>
    <row r="3" spans="1:11" x14ac:dyDescent="0.25">
      <c r="B3" s="164" t="s">
        <v>795</v>
      </c>
      <c r="C3" s="368"/>
      <c r="D3" s="368"/>
      <c r="E3" s="368"/>
      <c r="H3" s="329"/>
    </row>
    <row r="4" spans="1:11" x14ac:dyDescent="0.25">
      <c r="B4" s="164" t="s">
        <v>796</v>
      </c>
      <c r="C4" s="369"/>
      <c r="D4" s="369"/>
      <c r="E4" s="369"/>
      <c r="H4" s="329"/>
    </row>
    <row r="5" spans="1:11" x14ac:dyDescent="0.25">
      <c r="B5" s="164" t="s">
        <v>950</v>
      </c>
      <c r="C5" s="369"/>
      <c r="D5" s="369"/>
      <c r="E5" s="369"/>
      <c r="G5" s="327" t="s">
        <v>1029</v>
      </c>
      <c r="H5" s="328"/>
    </row>
    <row r="6" spans="1:11" x14ac:dyDescent="0.25">
      <c r="B6" s="164" t="s">
        <v>951</v>
      </c>
      <c r="C6" s="369"/>
      <c r="D6" s="369"/>
      <c r="E6" s="369"/>
      <c r="G6" s="327" t="s">
        <v>1030</v>
      </c>
      <c r="H6" s="328"/>
    </row>
    <row r="7" spans="1:11" x14ac:dyDescent="0.25">
      <c r="B7" s="164" t="s">
        <v>768</v>
      </c>
      <c r="C7" s="369"/>
      <c r="D7" s="369"/>
      <c r="E7" s="369"/>
      <c r="H7" s="329"/>
    </row>
    <row r="8" spans="1:11" x14ac:dyDescent="0.25">
      <c r="B8" s="164" t="s">
        <v>872</v>
      </c>
      <c r="C8" s="369"/>
      <c r="D8" s="369"/>
      <c r="E8" s="369"/>
      <c r="H8" s="329"/>
    </row>
    <row r="9" spans="1:11" ht="15.75" thickBot="1" x14ac:dyDescent="0.3">
      <c r="B9" s="163" t="s">
        <v>769</v>
      </c>
      <c r="C9" s="370"/>
      <c r="D9" s="370"/>
      <c r="E9" s="370"/>
      <c r="F9" s="330"/>
      <c r="G9" s="330"/>
      <c r="H9" s="331"/>
    </row>
    <row r="10" spans="1:11" ht="15.75" thickBot="1" x14ac:dyDescent="0.3">
      <c r="A10" s="117"/>
    </row>
    <row r="11" spans="1:11" ht="15.75" thickBot="1" x14ac:dyDescent="0.3">
      <c r="A11" s="117"/>
      <c r="B11" s="362" t="s">
        <v>793</v>
      </c>
      <c r="C11" s="363"/>
      <c r="D11" s="363"/>
      <c r="E11" s="364"/>
    </row>
    <row r="12" spans="1:11" x14ac:dyDescent="0.25">
      <c r="A12" s="159"/>
      <c r="B12" s="164" t="s">
        <v>916</v>
      </c>
      <c r="C12" s="185"/>
      <c r="D12" s="371" t="s">
        <v>788</v>
      </c>
      <c r="E12" s="372"/>
      <c r="F12" s="159"/>
      <c r="G12" s="159"/>
      <c r="H12" s="159"/>
      <c r="I12" s="159"/>
      <c r="J12" s="159"/>
      <c r="K12" s="159"/>
    </row>
    <row r="13" spans="1:11" x14ac:dyDescent="0.25">
      <c r="A13" s="161"/>
      <c r="B13" s="164" t="s">
        <v>770</v>
      </c>
      <c r="C13" s="185"/>
      <c r="D13" s="373" t="s">
        <v>790</v>
      </c>
      <c r="E13" s="374"/>
    </row>
    <row r="14" spans="1:11" x14ac:dyDescent="0.25">
      <c r="A14" s="161"/>
      <c r="B14" s="164" t="s">
        <v>771</v>
      </c>
      <c r="C14" s="185"/>
      <c r="D14" s="373" t="s">
        <v>948</v>
      </c>
      <c r="E14" s="374"/>
    </row>
    <row r="15" spans="1:11" ht="15.75" thickBot="1" x14ac:dyDescent="0.3">
      <c r="A15" s="161"/>
      <c r="B15" s="163" t="s">
        <v>814</v>
      </c>
      <c r="C15" s="214"/>
      <c r="D15" s="376">
        <v>0</v>
      </c>
      <c r="E15" s="377"/>
    </row>
    <row r="16" spans="1:11" ht="15.75" thickBot="1" x14ac:dyDescent="0.3">
      <c r="A16" s="161"/>
    </row>
    <row r="17" spans="1:8" ht="27" customHeight="1" thickBot="1" x14ac:dyDescent="0.3">
      <c r="A17" s="161"/>
      <c r="B17" s="362" t="s">
        <v>739</v>
      </c>
      <c r="C17" s="363"/>
      <c r="D17" s="363"/>
      <c r="E17" s="363"/>
      <c r="F17" s="363"/>
      <c r="G17" s="363"/>
      <c r="H17" s="364"/>
    </row>
    <row r="18" spans="1:8" ht="30" customHeight="1" x14ac:dyDescent="0.25">
      <c r="A18" s="161"/>
      <c r="B18" s="164"/>
      <c r="C18" s="185" t="s">
        <v>772</v>
      </c>
      <c r="D18" s="368"/>
      <c r="E18" s="368"/>
      <c r="G18" s="161"/>
      <c r="H18" s="329"/>
    </row>
    <row r="19" spans="1:8" x14ac:dyDescent="0.25">
      <c r="B19" s="164"/>
      <c r="C19" s="185" t="s">
        <v>743</v>
      </c>
      <c r="D19" s="375">
        <f>'1,2,3 Information'!C25</f>
        <v>0</v>
      </c>
      <c r="E19" s="375"/>
      <c r="G19" s="161"/>
      <c r="H19" s="329"/>
    </row>
    <row r="20" spans="1:8" x14ac:dyDescent="0.25">
      <c r="B20" s="162"/>
      <c r="C20" s="187" t="s">
        <v>740</v>
      </c>
      <c r="D20" s="375">
        <f>'1,2,3 Information'!C26</f>
        <v>0</v>
      </c>
      <c r="E20" s="375"/>
      <c r="H20" s="329"/>
    </row>
    <row r="21" spans="1:8" x14ac:dyDescent="0.25">
      <c r="B21" s="162"/>
      <c r="C21" s="187" t="s">
        <v>952</v>
      </c>
      <c r="D21" s="375" t="str">
        <f>'6a. Ext. Wall Areas'!J12</f>
        <v/>
      </c>
      <c r="E21" s="375"/>
      <c r="H21" s="329"/>
    </row>
    <row r="22" spans="1:8" x14ac:dyDescent="0.25">
      <c r="B22" s="162"/>
      <c r="C22" s="187" t="s">
        <v>797</v>
      </c>
      <c r="D22" s="369"/>
      <c r="E22" s="369"/>
      <c r="H22" s="329"/>
    </row>
    <row r="23" spans="1:8" x14ac:dyDescent="0.25">
      <c r="B23" s="162"/>
      <c r="C23" s="187" t="s">
        <v>798</v>
      </c>
      <c r="D23" s="369">
        <v>0</v>
      </c>
      <c r="E23" s="369"/>
      <c r="H23" s="329"/>
    </row>
    <row r="24" spans="1:8" x14ac:dyDescent="0.25">
      <c r="B24" s="162"/>
      <c r="C24" s="187" t="s">
        <v>813</v>
      </c>
      <c r="D24" s="375">
        <f>D22-D23</f>
        <v>0</v>
      </c>
      <c r="E24" s="375"/>
      <c r="H24" s="329"/>
    </row>
    <row r="25" spans="1:8" x14ac:dyDescent="0.25">
      <c r="B25" s="162"/>
      <c r="C25" s="187" t="s">
        <v>799</v>
      </c>
      <c r="D25" s="369"/>
      <c r="E25" s="369"/>
      <c r="G25" s="327" t="s">
        <v>1031</v>
      </c>
      <c r="H25" s="328">
        <v>0</v>
      </c>
    </row>
    <row r="26" spans="1:8" x14ac:dyDescent="0.25">
      <c r="B26" s="162"/>
      <c r="C26" s="187" t="s">
        <v>744</v>
      </c>
      <c r="D26" s="375">
        <f>'1,2,3 Information'!C28</f>
        <v>0</v>
      </c>
      <c r="E26" s="375"/>
      <c r="G26" s="327" t="s">
        <v>1032</v>
      </c>
      <c r="H26" s="201" t="e">
        <f>H25/D24</f>
        <v>#DIV/0!</v>
      </c>
    </row>
    <row r="27" spans="1:8" x14ac:dyDescent="0.25">
      <c r="B27" s="162"/>
      <c r="C27" s="187" t="s">
        <v>746</v>
      </c>
      <c r="D27" s="375">
        <f>'1,2,3 Information'!C29</f>
        <v>0</v>
      </c>
      <c r="E27" s="375"/>
      <c r="H27" s="329"/>
    </row>
    <row r="28" spans="1:8" x14ac:dyDescent="0.25">
      <c r="B28" s="162"/>
      <c r="C28" s="187" t="s">
        <v>917</v>
      </c>
      <c r="D28" s="375">
        <f>'1,2,3 Information'!C30</f>
        <v>0</v>
      </c>
      <c r="E28" s="375"/>
      <c r="H28" s="329"/>
    </row>
    <row r="29" spans="1:8" ht="15.75" thickBot="1" x14ac:dyDescent="0.3">
      <c r="B29" s="163"/>
      <c r="C29" s="214" t="s">
        <v>773</v>
      </c>
      <c r="D29" s="370"/>
      <c r="E29" s="370"/>
      <c r="F29" s="330"/>
      <c r="G29" s="330"/>
      <c r="H29" s="331"/>
    </row>
    <row r="31" spans="1:8" ht="15.75" thickBot="1" x14ac:dyDescent="0.3"/>
    <row r="32" spans="1:8" ht="30.75" customHeight="1" thickBot="1" x14ac:dyDescent="0.3">
      <c r="B32" s="365" t="s">
        <v>918</v>
      </c>
      <c r="C32" s="366"/>
      <c r="D32" s="367"/>
      <c r="F32" s="365" t="s">
        <v>774</v>
      </c>
      <c r="G32" s="366"/>
      <c r="H32" s="367"/>
    </row>
    <row r="33" spans="2:8" x14ac:dyDescent="0.25">
      <c r="B33" s="162"/>
      <c r="C33" s="259" t="s">
        <v>953</v>
      </c>
      <c r="D33" s="198"/>
      <c r="F33" s="188"/>
      <c r="G33" s="187" t="s">
        <v>959</v>
      </c>
      <c r="H33" s="200" t="str">
        <f>'GSG Avg Rotations'!K22</f>
        <v/>
      </c>
    </row>
    <row r="34" spans="2:8" x14ac:dyDescent="0.25">
      <c r="B34" s="162"/>
      <c r="C34" s="258" t="s">
        <v>954</v>
      </c>
      <c r="D34" s="198"/>
      <c r="F34" s="188"/>
      <c r="G34" s="187" t="s">
        <v>960</v>
      </c>
      <c r="H34" s="200" t="str">
        <f>'GSG Avg Rotations'!K23</f>
        <v/>
      </c>
    </row>
    <row r="35" spans="2:8" x14ac:dyDescent="0.25">
      <c r="B35" s="162"/>
      <c r="C35" s="258" t="s">
        <v>955</v>
      </c>
      <c r="D35" s="200">
        <f>'4. Purchased Energy Rates'!E8-'SCA Exec Summary'!D33</f>
        <v>0</v>
      </c>
      <c r="F35" s="188"/>
      <c r="G35" s="187" t="s">
        <v>961</v>
      </c>
      <c r="H35" s="200">
        <f>'4. Purchased Energy Rates'!G8</f>
        <v>0</v>
      </c>
    </row>
    <row r="36" spans="2:8" x14ac:dyDescent="0.25">
      <c r="B36" s="162"/>
      <c r="C36" s="258" t="s">
        <v>956</v>
      </c>
      <c r="D36" s="200">
        <f>'4. Purchased Energy Rates'!E9-'SCA Exec Summary'!D34</f>
        <v>0</v>
      </c>
      <c r="F36" s="188"/>
      <c r="G36" s="187" t="s">
        <v>962</v>
      </c>
      <c r="H36" s="200">
        <f>'4. Purchased Energy Rates'!G9</f>
        <v>0</v>
      </c>
    </row>
    <row r="37" spans="2:8" x14ac:dyDescent="0.25">
      <c r="B37" s="162"/>
      <c r="C37" s="258" t="s">
        <v>957</v>
      </c>
      <c r="D37" s="198"/>
      <c r="F37" s="191"/>
      <c r="G37" s="185" t="s">
        <v>785</v>
      </c>
      <c r="H37" s="200">
        <f>'GSG Avg Rotations'!K26</f>
        <v>0</v>
      </c>
    </row>
    <row r="38" spans="2:8" x14ac:dyDescent="0.25">
      <c r="B38" s="162"/>
      <c r="C38" s="258" t="s">
        <v>958</v>
      </c>
      <c r="D38" s="198"/>
      <c r="F38" s="188"/>
      <c r="G38" s="187" t="s">
        <v>776</v>
      </c>
      <c r="H38" s="200" t="str">
        <f>D43</f>
        <v/>
      </c>
    </row>
    <row r="39" spans="2:8" x14ac:dyDescent="0.25">
      <c r="B39" s="162"/>
      <c r="C39" s="258" t="s">
        <v>919</v>
      </c>
      <c r="D39" s="200">
        <f>D33+D34</f>
        <v>0</v>
      </c>
      <c r="F39" s="188"/>
      <c r="G39" s="187" t="s">
        <v>778</v>
      </c>
      <c r="H39" s="203" t="str">
        <f>IFERROR((H37-H38)/H37,"")</f>
        <v/>
      </c>
    </row>
    <row r="40" spans="2:8" x14ac:dyDescent="0.25">
      <c r="B40" s="162"/>
      <c r="C40" s="258" t="s">
        <v>775</v>
      </c>
      <c r="D40" s="200">
        <f>D38+D37</f>
        <v>0</v>
      </c>
      <c r="F40" s="188"/>
      <c r="G40" s="187" t="s">
        <v>786</v>
      </c>
      <c r="H40" s="202">
        <f>IFERROR(('SCA Usage Summary'!E16*0.00341214+'SCA Usage Summary'!F16*0.1)/'SCA Exec Summary'!D22,0)</f>
        <v>0</v>
      </c>
    </row>
    <row r="41" spans="2:8" x14ac:dyDescent="0.25">
      <c r="B41" s="162"/>
      <c r="C41" s="258" t="s">
        <v>777</v>
      </c>
      <c r="D41" s="203" t="str">
        <f>IFERROR((D39-D40)/D39,"")</f>
        <v/>
      </c>
      <c r="F41" s="188"/>
      <c r="G41" s="187" t="s">
        <v>779</v>
      </c>
      <c r="H41" s="202">
        <f>D46</f>
        <v>0</v>
      </c>
    </row>
    <row r="42" spans="2:8" x14ac:dyDescent="0.25">
      <c r="B42" s="162"/>
      <c r="C42" s="258" t="s">
        <v>920</v>
      </c>
      <c r="D42" s="200" t="str">
        <f>'4. Purchased Energy Rates'!E12</f>
        <v/>
      </c>
      <c r="F42" s="188"/>
      <c r="G42" s="187" t="s">
        <v>780</v>
      </c>
      <c r="H42" s="201" t="str">
        <f>IFERROR((H40-H41)/H40,"")</f>
        <v/>
      </c>
    </row>
    <row r="43" spans="2:8" x14ac:dyDescent="0.25">
      <c r="B43" s="162"/>
      <c r="C43" s="258" t="s">
        <v>776</v>
      </c>
      <c r="D43" s="200" t="str">
        <f>'4. Purchased Energy Rates'!G12</f>
        <v/>
      </c>
      <c r="F43" s="188"/>
      <c r="G43" s="187" t="s">
        <v>787</v>
      </c>
      <c r="H43" s="202" t="str">
        <f>IFERROR(1000*('SCA Usage Summary'!E16*GSG_List!$B$65*0.00341214+'SCA Usage Summary'!F16*GSG_List!$B$66*0.1)/$D$24,"")</f>
        <v/>
      </c>
    </row>
    <row r="44" spans="2:8" x14ac:dyDescent="0.25">
      <c r="B44" s="162"/>
      <c r="C44" s="258" t="s">
        <v>778</v>
      </c>
      <c r="D44" s="201" t="str">
        <f>IFERROR((D42-D43)/D42,"")</f>
        <v/>
      </c>
      <c r="F44" s="188"/>
      <c r="G44" s="187" t="s">
        <v>781</v>
      </c>
      <c r="H44" s="202" t="str">
        <f>D49</f>
        <v/>
      </c>
    </row>
    <row r="45" spans="2:8" x14ac:dyDescent="0.25">
      <c r="B45" s="162"/>
      <c r="C45" s="258" t="s">
        <v>921</v>
      </c>
      <c r="D45" s="202">
        <f>'1,2,3 Information'!C32</f>
        <v>0</v>
      </c>
      <c r="F45" s="188"/>
      <c r="G45" s="187" t="s">
        <v>782</v>
      </c>
      <c r="H45" s="201" t="str">
        <f>IFERROR((H43-H44)/H43,"")</f>
        <v/>
      </c>
    </row>
    <row r="46" spans="2:8" x14ac:dyDescent="0.25">
      <c r="B46" s="162"/>
      <c r="C46" s="258" t="s">
        <v>779</v>
      </c>
      <c r="D46" s="202">
        <f>'1,2,3 Information'!C31</f>
        <v>0</v>
      </c>
      <c r="F46" s="188"/>
      <c r="G46" s="186"/>
      <c r="H46" s="199"/>
    </row>
    <row r="47" spans="2:8" x14ac:dyDescent="0.25">
      <c r="B47" s="162"/>
      <c r="C47" s="258" t="s">
        <v>780</v>
      </c>
      <c r="D47" s="201" t="str">
        <f>IFERROR((D45-D46)/D45,"")</f>
        <v/>
      </c>
      <c r="F47" s="188"/>
      <c r="G47" s="187" t="s">
        <v>783</v>
      </c>
      <c r="H47" s="199" t="str">
        <f>IF(AND(H39&gt;=GSG_List!C71,OR(D14=GSG_List!A61,D14=GSG_List!A62)),"Compliant",IF(AND(H39&gt;=GSG_List!C93,D14=GSG_List!A63),"Compliant","Not Compliant"))</f>
        <v>Compliant</v>
      </c>
    </row>
    <row r="48" spans="2:8" x14ac:dyDescent="0.25">
      <c r="B48" s="162"/>
      <c r="C48" s="258" t="s">
        <v>922</v>
      </c>
      <c r="D48" s="202" t="str">
        <f>IFERROR(1000*('SCA Usage Summary'!C16*GSG_List!$B$65*0.00341214+'SCA Usage Summary'!D16*GSG_List!$B$66*0.1)/D24,"")</f>
        <v/>
      </c>
      <c r="F48" s="188"/>
      <c r="G48" s="187" t="s">
        <v>784</v>
      </c>
      <c r="H48" s="199" t="str">
        <f>IFERROR(IF(OR(D14=GSG_List!A61,D14=GSG_List!A62),VLOOKUP('SCA Exec Summary'!H39,GSG_List!$C$71:$D$87,2,TRUE),VLOOKUP('SCA Exec Summary'!H39,GSG_List!$C$92:$D$111,2,TRUE)),"")</f>
        <v/>
      </c>
    </row>
    <row r="49" spans="2:8" ht="15.75" thickBot="1" x14ac:dyDescent="0.3">
      <c r="B49" s="162"/>
      <c r="C49" s="258" t="s">
        <v>781</v>
      </c>
      <c r="D49" s="202" t="str">
        <f>IFERROR(1000*('SCA Usage Summary'!G16*GSG_List!$B$65*0.00341214+'SCA Usage Summary'!H16*GSG_List!$B$66*0.1)/D24,"")</f>
        <v/>
      </c>
      <c r="F49" s="189"/>
      <c r="G49" s="190"/>
      <c r="H49" s="192"/>
    </row>
    <row r="50" spans="2:8" x14ac:dyDescent="0.25">
      <c r="B50" s="162"/>
      <c r="C50" s="258" t="s">
        <v>782</v>
      </c>
      <c r="D50" s="201" t="str">
        <f>IFERROR((D48-D49)/D48,"")</f>
        <v/>
      </c>
    </row>
    <row r="51" spans="2:8" ht="15.75" thickBot="1" x14ac:dyDescent="0.3">
      <c r="B51" s="162"/>
      <c r="C51" s="258" t="s">
        <v>923</v>
      </c>
      <c r="D51" s="222" t="str">
        <f>IF(D41&lt;0.2,"Not compliant", "Compliant")</f>
        <v>Compliant</v>
      </c>
    </row>
    <row r="52" spans="2:8" ht="15.75" thickBot="1" x14ac:dyDescent="0.3">
      <c r="B52" s="162"/>
      <c r="C52" s="258"/>
      <c r="D52" s="222"/>
      <c r="F52" s="365" t="s">
        <v>964</v>
      </c>
      <c r="G52" s="366"/>
      <c r="H52" s="367"/>
    </row>
    <row r="53" spans="2:8" x14ac:dyDescent="0.25">
      <c r="B53" s="162"/>
      <c r="C53" s="258" t="s">
        <v>860</v>
      </c>
      <c r="D53" s="223" t="str">
        <f>IFERROR((0.000288962*'SCA Usage Summary'!G16+'SCA Usage Summary'!H16*0.005311),"")</f>
        <v/>
      </c>
      <c r="F53" s="188"/>
      <c r="G53" s="187" t="s">
        <v>965</v>
      </c>
      <c r="H53" s="306" t="str">
        <f>IFERROR((D33+D35+H35+H33)/('SCA Usage Summary'!E16+'SCA Usage Summary'!C16+'SCA Usage Summary'!G16),"")</f>
        <v/>
      </c>
    </row>
    <row r="54" spans="2:8" ht="15.75" thickBot="1" x14ac:dyDescent="0.3">
      <c r="B54" s="189"/>
      <c r="C54" s="260" t="s">
        <v>861</v>
      </c>
      <c r="D54" s="224" t="str">
        <f>IFERROR(D53/D24,"")</f>
        <v/>
      </c>
      <c r="F54" s="189"/>
      <c r="G54" s="214" t="s">
        <v>966</v>
      </c>
      <c r="H54" s="307" t="str">
        <f>IFERROR((D34+D36+H36+H34)/('SCA Usage Summary'!D16+'SCA Usage Summary'!F16+'SCA Usage Summary'!H16),"")</f>
        <v/>
      </c>
    </row>
  </sheetData>
  <mergeCells count="29">
    <mergeCell ref="B11:E11"/>
    <mergeCell ref="D15:E15"/>
    <mergeCell ref="D21:E21"/>
    <mergeCell ref="D29:E29"/>
    <mergeCell ref="D18:E18"/>
    <mergeCell ref="D23:E23"/>
    <mergeCell ref="D25:E25"/>
    <mergeCell ref="D24:E24"/>
    <mergeCell ref="D27:E27"/>
    <mergeCell ref="D26:E26"/>
    <mergeCell ref="D22:E22"/>
    <mergeCell ref="D20:E20"/>
    <mergeCell ref="D19:E19"/>
    <mergeCell ref="B2:H2"/>
    <mergeCell ref="B17:H17"/>
    <mergeCell ref="F52:H52"/>
    <mergeCell ref="F32:H32"/>
    <mergeCell ref="B32:D32"/>
    <mergeCell ref="C3:E3"/>
    <mergeCell ref="C4:E4"/>
    <mergeCell ref="C5:E5"/>
    <mergeCell ref="C6:E6"/>
    <mergeCell ref="C7:E7"/>
    <mergeCell ref="C8:E8"/>
    <mergeCell ref="C9:E9"/>
    <mergeCell ref="D12:E12"/>
    <mergeCell ref="D13:E13"/>
    <mergeCell ref="D14:E14"/>
    <mergeCell ref="D28:E28"/>
  </mergeCells>
  <pageMargins left="0.25" right="0.25" top="0.75" bottom="0.75" header="0.3" footer="0.3"/>
  <pageSetup scale="80" orientation="portrait" r:id="rId1"/>
  <headerFooter>
    <oddHeader>&amp;LNYC SCA&amp;C
&amp;A</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GSG_List!$A$61:$A$63</xm:f>
          </x14:formula1>
          <xm:sqref>D14:E14</xm:sqref>
        </x14:dataValidation>
        <x14:dataValidation type="list" allowBlank="1" showInputMessage="1" showErrorMessage="1" xr:uid="{00000000-0002-0000-0B00-000003000000}">
          <x14:formula1>
            <xm:f>'GSG LPD'!$J$2:$J$3</xm:f>
          </x14:formula1>
          <xm:sqref>C8:E8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1">
    <tabColor theme="8"/>
  </sheetPr>
  <dimension ref="A1:J20"/>
  <sheetViews>
    <sheetView workbookViewId="0">
      <selection activeCell="J10" sqref="J10"/>
    </sheetView>
  </sheetViews>
  <sheetFormatPr defaultRowHeight="15" x14ac:dyDescent="0.25"/>
  <cols>
    <col min="3" max="3" width="29.7109375" customWidth="1"/>
    <col min="4" max="4" width="12.5703125" customWidth="1"/>
    <col min="8" max="8" width="11.85546875" customWidth="1"/>
    <col min="9" max="9" width="14.5703125" customWidth="1"/>
    <col min="10" max="10" width="13.140625" bestFit="1" customWidth="1"/>
  </cols>
  <sheetData>
    <row r="1" spans="1:10" ht="21" x14ac:dyDescent="0.35">
      <c r="A1" s="231"/>
      <c r="B1" s="234" t="s">
        <v>968</v>
      </c>
      <c r="D1" s="236"/>
      <c r="E1" s="243"/>
      <c r="F1" s="231"/>
    </row>
    <row r="2" spans="1:10" x14ac:dyDescent="0.25">
      <c r="A2" s="231"/>
      <c r="B2" s="229" t="s">
        <v>978</v>
      </c>
      <c r="D2" s="236"/>
      <c r="E2" s="243"/>
      <c r="F2" s="231"/>
    </row>
    <row r="3" spans="1:10" ht="15.75" thickBot="1" x14ac:dyDescent="0.3">
      <c r="A3" s="231"/>
      <c r="B3" s="229"/>
      <c r="D3" s="236"/>
      <c r="E3" s="243"/>
      <c r="F3" s="231"/>
    </row>
    <row r="4" spans="1:10" ht="15.75" thickBot="1" x14ac:dyDescent="0.3">
      <c r="A4" s="231"/>
      <c r="B4" s="293" t="s">
        <v>980</v>
      </c>
      <c r="C4" s="294"/>
      <c r="D4" s="295"/>
      <c r="E4" s="296"/>
      <c r="F4" s="297"/>
      <c r="G4" s="294"/>
      <c r="H4" s="294"/>
      <c r="I4" s="298"/>
    </row>
    <row r="5" spans="1:10" x14ac:dyDescent="0.25">
      <c r="A5" s="231"/>
      <c r="B5" s="229"/>
      <c r="D5" s="236"/>
      <c r="E5" s="243"/>
      <c r="F5" s="231"/>
    </row>
    <row r="6" spans="1:10" x14ac:dyDescent="0.25">
      <c r="A6" s="231"/>
      <c r="B6" s="229" t="str">
        <f>IF(I4="yes","","No additional measures modeled.  This form does not need to be completed")</f>
        <v>No additional measures modeled.  This form does not need to be completed</v>
      </c>
      <c r="D6" s="236"/>
      <c r="E6" s="243"/>
      <c r="F6" s="231"/>
    </row>
    <row r="7" spans="1:10" ht="15.75" thickBot="1" x14ac:dyDescent="0.3">
      <c r="A7" s="231"/>
      <c r="B7" s="235"/>
      <c r="C7" s="235"/>
      <c r="D7" s="236"/>
      <c r="E7" s="243"/>
      <c r="F7" s="231"/>
    </row>
    <row r="8" spans="1:10" x14ac:dyDescent="0.25">
      <c r="A8" s="231"/>
      <c r="B8" s="386" t="s">
        <v>977</v>
      </c>
      <c r="C8" s="267"/>
      <c r="D8" s="378" t="s">
        <v>811</v>
      </c>
      <c r="E8" s="379"/>
      <c r="F8" s="380" t="s">
        <v>812</v>
      </c>
      <c r="G8" s="381"/>
      <c r="H8" s="384" t="s">
        <v>973</v>
      </c>
      <c r="I8" s="382" t="s">
        <v>974</v>
      </c>
      <c r="J8" s="383"/>
    </row>
    <row r="9" spans="1:10" ht="19.5" customHeight="1" thickBot="1" x14ac:dyDescent="0.3">
      <c r="A9" s="231"/>
      <c r="B9" s="387"/>
      <c r="C9" s="268" t="s">
        <v>972</v>
      </c>
      <c r="D9" s="265" t="s">
        <v>969</v>
      </c>
      <c r="E9" s="261" t="s">
        <v>970</v>
      </c>
      <c r="F9" s="272" t="s">
        <v>971</v>
      </c>
      <c r="G9" s="266" t="s">
        <v>970</v>
      </c>
      <c r="H9" s="385"/>
      <c r="I9" s="265" t="s">
        <v>975</v>
      </c>
      <c r="J9" s="261" t="s">
        <v>976</v>
      </c>
    </row>
    <row r="10" spans="1:10" ht="47.25" customHeight="1" x14ac:dyDescent="0.25">
      <c r="A10" s="231"/>
      <c r="B10" s="262">
        <v>0</v>
      </c>
      <c r="C10" s="269" t="s">
        <v>332</v>
      </c>
      <c r="D10" s="273" t="str">
        <f>'5. Usage Summary'!F16</f>
        <v/>
      </c>
      <c r="E10" s="274">
        <f>'SCA Exec Summary'!H35</f>
        <v>0</v>
      </c>
      <c r="F10" s="275" t="str">
        <f>'5. Usage Summary'!G16</f>
        <v/>
      </c>
      <c r="G10" s="276">
        <f>'SCA Exec Summary'!H36</f>
        <v>0</v>
      </c>
      <c r="H10" s="277">
        <f>G10+E10</f>
        <v>0</v>
      </c>
      <c r="I10" s="288" t="e">
        <f>1000*(D10*GSG_List!$B$65*0.00341214+F10*GSG_List!$B$66*0.1)</f>
        <v>#VALUE!</v>
      </c>
      <c r="J10" s="292" t="str">
        <f>IFERROR(I10/'SCA Exec Summary'!$D$24,"")</f>
        <v/>
      </c>
    </row>
    <row r="11" spans="1:10" ht="47.25" customHeight="1" x14ac:dyDescent="0.25">
      <c r="A11" s="231"/>
      <c r="B11" s="263">
        <f>B10+1</f>
        <v>1</v>
      </c>
      <c r="C11" s="270"/>
      <c r="D11" s="278"/>
      <c r="E11" s="279"/>
      <c r="F11" s="280"/>
      <c r="G11" s="281"/>
      <c r="H11" s="282">
        <f>G11+E11</f>
        <v>0</v>
      </c>
      <c r="I11" s="289">
        <f>1000*(D11*GSG_List!$B$65*0.00341214+F11*GSG_List!$B$66*0.1)</f>
        <v>0</v>
      </c>
      <c r="J11" s="292" t="str">
        <f>IFERROR(I11/'SCA Exec Summary'!$D$24,"")</f>
        <v/>
      </c>
    </row>
    <row r="12" spans="1:10" ht="47.25" customHeight="1" x14ac:dyDescent="0.25">
      <c r="A12" s="231"/>
      <c r="B12" s="263">
        <f t="shared" ref="B12:B17" si="0">B11+1</f>
        <v>2</v>
      </c>
      <c r="C12" s="270"/>
      <c r="D12" s="278"/>
      <c r="E12" s="279"/>
      <c r="F12" s="280"/>
      <c r="G12" s="281"/>
      <c r="H12" s="282">
        <f t="shared" ref="H12:H17" si="1">G12+E12</f>
        <v>0</v>
      </c>
      <c r="I12" s="289">
        <f>1000*(D12*GSG_List!$B$65*0.00341214+F12*GSG_List!$B$66*0.1)</f>
        <v>0</v>
      </c>
      <c r="J12" s="292" t="str">
        <f>IFERROR(I12/'SCA Exec Summary'!$D$24,"")</f>
        <v/>
      </c>
    </row>
    <row r="13" spans="1:10" ht="47.25" customHeight="1" x14ac:dyDescent="0.25">
      <c r="A13" s="231"/>
      <c r="B13" s="263">
        <f t="shared" si="0"/>
        <v>3</v>
      </c>
      <c r="C13" s="270"/>
      <c r="D13" s="278"/>
      <c r="E13" s="279"/>
      <c r="F13" s="280"/>
      <c r="G13" s="281"/>
      <c r="H13" s="282">
        <f t="shared" si="1"/>
        <v>0</v>
      </c>
      <c r="I13" s="289">
        <f>1000*(D13*GSG_List!$B$65*0.00341214+F13*GSG_List!$B$66*0.1)</f>
        <v>0</v>
      </c>
      <c r="J13" s="292" t="str">
        <f>IFERROR(I13/'SCA Exec Summary'!$D$24,"")</f>
        <v/>
      </c>
    </row>
    <row r="14" spans="1:10" ht="47.25" customHeight="1" x14ac:dyDescent="0.25">
      <c r="B14" s="263">
        <f t="shared" si="0"/>
        <v>4</v>
      </c>
      <c r="C14" s="270"/>
      <c r="D14" s="278"/>
      <c r="E14" s="279"/>
      <c r="F14" s="280"/>
      <c r="G14" s="281"/>
      <c r="H14" s="282">
        <f t="shared" si="1"/>
        <v>0</v>
      </c>
      <c r="I14" s="289">
        <f>1000*(D14*GSG_List!$B$65*0.00341214+F14*GSG_List!$B$66*0.1)</f>
        <v>0</v>
      </c>
      <c r="J14" s="292" t="str">
        <f>IFERROR(I14/'SCA Exec Summary'!$D$24,"")</f>
        <v/>
      </c>
    </row>
    <row r="15" spans="1:10" ht="47.25" customHeight="1" x14ac:dyDescent="0.25">
      <c r="B15" s="263">
        <f t="shared" si="0"/>
        <v>5</v>
      </c>
      <c r="C15" s="270"/>
      <c r="D15" s="278"/>
      <c r="E15" s="279"/>
      <c r="F15" s="280"/>
      <c r="G15" s="281"/>
      <c r="H15" s="282">
        <f t="shared" si="1"/>
        <v>0</v>
      </c>
      <c r="I15" s="289">
        <f>1000*(D15*GSG_List!$B$65*0.00341214+F15*GSG_List!$B$66*0.1)</f>
        <v>0</v>
      </c>
      <c r="J15" s="292" t="str">
        <f>IFERROR(I15/'SCA Exec Summary'!$D$24,"")</f>
        <v/>
      </c>
    </row>
    <row r="16" spans="1:10" ht="47.25" customHeight="1" x14ac:dyDescent="0.25">
      <c r="B16" s="263">
        <f t="shared" si="0"/>
        <v>6</v>
      </c>
      <c r="C16" s="270"/>
      <c r="D16" s="278"/>
      <c r="E16" s="279"/>
      <c r="F16" s="280"/>
      <c r="G16" s="281"/>
      <c r="H16" s="282">
        <f t="shared" si="1"/>
        <v>0</v>
      </c>
      <c r="I16" s="289">
        <f>1000*(D16*GSG_List!$B$65*0.00341214+F16*GSG_List!$B$66*0.1)</f>
        <v>0</v>
      </c>
      <c r="J16" s="292" t="str">
        <f>IFERROR(I16/'SCA Exec Summary'!$D$24,"")</f>
        <v/>
      </c>
    </row>
    <row r="17" spans="2:10" ht="47.25" customHeight="1" x14ac:dyDescent="0.25">
      <c r="B17" s="263">
        <f t="shared" si="0"/>
        <v>7</v>
      </c>
      <c r="C17" s="270"/>
      <c r="D17" s="278"/>
      <c r="E17" s="279"/>
      <c r="F17" s="280"/>
      <c r="G17" s="281"/>
      <c r="H17" s="282">
        <f t="shared" si="1"/>
        <v>0</v>
      </c>
      <c r="I17" s="289">
        <f>1000*(D17*GSG_List!$B$65*0.00341214+F17*GSG_List!$B$66*0.1)</f>
        <v>0</v>
      </c>
      <c r="J17" s="292" t="str">
        <f>IFERROR(I17/'SCA Exec Summary'!$D$24,"")</f>
        <v/>
      </c>
    </row>
    <row r="18" spans="2:10" ht="47.25" customHeight="1" x14ac:dyDescent="0.25">
      <c r="B18" s="263">
        <f>B17+1</f>
        <v>8</v>
      </c>
      <c r="C18" s="270"/>
      <c r="D18" s="278"/>
      <c r="E18" s="279"/>
      <c r="F18" s="280"/>
      <c r="G18" s="281"/>
      <c r="H18" s="282">
        <f>G18+E18</f>
        <v>0</v>
      </c>
      <c r="I18" s="289">
        <f>1000*(D18*GSG_List!$B$65*0.00341214+F18*GSG_List!$B$66*0.1)</f>
        <v>0</v>
      </c>
      <c r="J18" s="292" t="str">
        <f>IFERROR(I18/'SCA Exec Summary'!$D$24,"")</f>
        <v/>
      </c>
    </row>
    <row r="19" spans="2:10" ht="47.25" customHeight="1" x14ac:dyDescent="0.25">
      <c r="B19" s="263">
        <f t="shared" ref="B19:B20" si="2">B18+1</f>
        <v>9</v>
      </c>
      <c r="C19" s="270"/>
      <c r="D19" s="278"/>
      <c r="E19" s="279"/>
      <c r="F19" s="280"/>
      <c r="G19" s="281"/>
      <c r="H19" s="282">
        <f t="shared" ref="H19:H20" si="3">G19+E19</f>
        <v>0</v>
      </c>
      <c r="I19" s="289">
        <f>1000*(D19*GSG_List!$B$65*0.00341214+F19*GSG_List!$B$66*0.1)</f>
        <v>0</v>
      </c>
      <c r="J19" s="292" t="str">
        <f>IFERROR(I19/'SCA Exec Summary'!$D$24,"")</f>
        <v/>
      </c>
    </row>
    <row r="20" spans="2:10" ht="47.25" customHeight="1" thickBot="1" x14ac:dyDescent="0.3">
      <c r="B20" s="264">
        <f t="shared" si="2"/>
        <v>10</v>
      </c>
      <c r="C20" s="271"/>
      <c r="D20" s="283"/>
      <c r="E20" s="284"/>
      <c r="F20" s="285"/>
      <c r="G20" s="286"/>
      <c r="H20" s="287">
        <f t="shared" si="3"/>
        <v>0</v>
      </c>
      <c r="I20" s="290">
        <f>1000*(D20*GSG_List!$B$65*0.00341214+F20*GSG_List!$B$66*0.1)</f>
        <v>0</v>
      </c>
      <c r="J20" s="291" t="str">
        <f>IFERROR(I20/'SCA Exec Summary'!$D$24,"")</f>
        <v/>
      </c>
    </row>
  </sheetData>
  <mergeCells count="5">
    <mergeCell ref="D8:E8"/>
    <mergeCell ref="F8:G8"/>
    <mergeCell ref="I8:J8"/>
    <mergeCell ref="H8:H9"/>
    <mergeCell ref="B8:B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GSG_List!$N$1:$N$2</xm:f>
          </x14:formula1>
          <xm:sqref>I4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tabColor theme="8"/>
  </sheetPr>
  <dimension ref="A3:J32"/>
  <sheetViews>
    <sheetView view="pageLayout" topLeftCell="A3" zoomScaleNormal="100" zoomScaleSheetLayoutView="100" workbookViewId="0">
      <selection activeCell="E25" sqref="E25"/>
    </sheetView>
  </sheetViews>
  <sheetFormatPr defaultRowHeight="15" x14ac:dyDescent="0.25"/>
  <cols>
    <col min="1" max="1" width="2.85546875" customWidth="1"/>
    <col min="2" max="2" width="10.5703125" customWidth="1"/>
    <col min="3" max="3" width="10.7109375" customWidth="1"/>
    <col min="4" max="4" width="9.28515625" customWidth="1"/>
    <col min="5" max="5" width="10.7109375" customWidth="1"/>
    <col min="6" max="6" width="9.28515625" customWidth="1"/>
    <col min="7" max="7" width="10.42578125" customWidth="1"/>
    <col min="8" max="8" width="10.7109375" customWidth="1"/>
    <col min="9" max="9" width="8.5703125" customWidth="1"/>
    <col min="10" max="10" width="9.85546875" bestFit="1" customWidth="1"/>
  </cols>
  <sheetData>
    <row r="3" spans="1:10" ht="15.75" customHeight="1" x14ac:dyDescent="0.25">
      <c r="A3" s="34">
        <v>5</v>
      </c>
      <c r="B3" s="361" t="s">
        <v>129</v>
      </c>
      <c r="C3" s="361"/>
      <c r="D3" s="361"/>
      <c r="E3" s="361"/>
      <c r="F3" s="361"/>
      <c r="G3" s="361"/>
      <c r="H3" s="361"/>
      <c r="I3" s="361"/>
      <c r="J3" s="361"/>
    </row>
    <row r="4" spans="1:10" s="1" customFormat="1" ht="22.5" customHeight="1" x14ac:dyDescent="0.2">
      <c r="A4" s="361"/>
      <c r="B4" s="361"/>
      <c r="C4" s="388" t="s">
        <v>914</v>
      </c>
      <c r="D4" s="388"/>
      <c r="E4" s="388" t="s">
        <v>766</v>
      </c>
      <c r="F4" s="388"/>
      <c r="G4" s="171" t="s">
        <v>131</v>
      </c>
      <c r="H4" s="172"/>
      <c r="I4" s="172"/>
      <c r="J4" s="173"/>
    </row>
    <row r="5" spans="1:10" s="1" customFormat="1" ht="54.75" customHeight="1" x14ac:dyDescent="0.2">
      <c r="A5" s="350"/>
      <c r="B5" s="350"/>
      <c r="C5" s="33" t="s">
        <v>132</v>
      </c>
      <c r="D5" s="33" t="s">
        <v>686</v>
      </c>
      <c r="E5" s="33" t="s">
        <v>132</v>
      </c>
      <c r="F5" s="33" t="s">
        <v>686</v>
      </c>
      <c r="G5" s="33" t="s">
        <v>132</v>
      </c>
      <c r="H5" s="33" t="s">
        <v>686</v>
      </c>
      <c r="I5" s="33" t="s">
        <v>915</v>
      </c>
      <c r="J5" s="33" t="s">
        <v>767</v>
      </c>
    </row>
    <row r="6" spans="1:10" s="1" customFormat="1" ht="15" customHeight="1" x14ac:dyDescent="0.2">
      <c r="A6" s="350" t="s">
        <v>134</v>
      </c>
      <c r="B6" s="350"/>
      <c r="C6" s="118" t="str">
        <f>IF('5. Usage Summary'!C6="","",'5. Usage Summary'!C6)</f>
        <v/>
      </c>
      <c r="D6" s="118">
        <f>IF('5. Usage Summary'!D6="",0,'5. Usage Summary'!D6)</f>
        <v>0</v>
      </c>
      <c r="E6" s="118">
        <f>IF('GSG Avg Rotations'!K9="","",'GSG Avg Rotations'!K9)</f>
        <v>0</v>
      </c>
      <c r="F6" s="118">
        <f>IF('GSG Avg Rotations'!L9="","",'GSG Avg Rotations'!L9)</f>
        <v>0</v>
      </c>
      <c r="G6" s="119" t="str">
        <f>IF('5. Usage Summary'!F6="","",'5. Usage Summary'!F6)</f>
        <v/>
      </c>
      <c r="H6" s="119">
        <f>IF('5. Usage Summary'!G6="",0,'5. Usage Summary'!G6)</f>
        <v>0</v>
      </c>
      <c r="I6" s="128" t="e">
        <f>IF(AND(C6=0,D6=0),0,((C6-G6)*0.00341214+(D6-H6)*0.1)/(($C$16-$G$16)*0.00341214+($D$16-$H$16)*0.1))</f>
        <v>#VALUE!</v>
      </c>
      <c r="J6" s="128">
        <f>IFERROR(IF(AND(E6=0,F6=0),0,((E6-G6)*0.00341214+(F6-H6)*0.1)/(($E$16-$G$16)*0.00341214+($F$16-$H$16)*0.1)),"")</f>
        <v>0</v>
      </c>
    </row>
    <row r="7" spans="1:10" s="1" customFormat="1" ht="15" customHeight="1" x14ac:dyDescent="0.2">
      <c r="A7" s="350" t="s">
        <v>135</v>
      </c>
      <c r="B7" s="350"/>
      <c r="C7" s="118" t="str">
        <f>IF('5. Usage Summary'!C7="","",'5. Usage Summary'!C7)</f>
        <v/>
      </c>
      <c r="D7" s="118">
        <f>IF('5. Usage Summary'!D7="",0,'5. Usage Summary'!D7)</f>
        <v>0</v>
      </c>
      <c r="E7" s="118">
        <f>IF('GSG Avg Rotations'!K10="","",'GSG Avg Rotations'!K10)</f>
        <v>0</v>
      </c>
      <c r="F7" s="118">
        <f>IF('GSG Avg Rotations'!L10="","",'GSG Avg Rotations'!L10)</f>
        <v>0</v>
      </c>
      <c r="G7" s="119" t="str">
        <f>IF('5. Usage Summary'!F7="","",'5. Usage Summary'!F7)</f>
        <v/>
      </c>
      <c r="H7" s="119">
        <f>IF('5. Usage Summary'!G7="",0,'5. Usage Summary'!G7)</f>
        <v>0</v>
      </c>
      <c r="I7" s="128" t="e">
        <f t="shared" ref="I7:I14" si="0">IF(AND(C7=0,D7=0),0,((C7-G7)*0.00341214+(D7-H7)*0.1)/(($C$16-$G$16)*0.00341214+($D$16-$H$16)*0.1))</f>
        <v>#VALUE!</v>
      </c>
      <c r="J7" s="128">
        <f t="shared" ref="J7:J15" si="1">IFERROR(IF(AND(E7=0,F7=0),0,((E7-G7)*0.00341214+(F7-H7)*0.1)/(($E$16-$G$16)*0.00341214+($F$16-$H$16)*0.1)),"")</f>
        <v>0</v>
      </c>
    </row>
    <row r="8" spans="1:10" s="1" customFormat="1" ht="15" customHeight="1" x14ac:dyDescent="0.2">
      <c r="A8" s="350" t="s">
        <v>136</v>
      </c>
      <c r="B8" s="350"/>
      <c r="C8" s="118" t="str">
        <f>IF('5. Usage Summary'!C8="","",'5. Usage Summary'!C8)</f>
        <v/>
      </c>
      <c r="D8" s="118">
        <f>IF('5. Usage Summary'!D8="",0,'5. Usage Summary'!D8)</f>
        <v>0</v>
      </c>
      <c r="E8" s="118">
        <f>IF('GSG Avg Rotations'!K11="","",'GSG Avg Rotations'!K11)</f>
        <v>0</v>
      </c>
      <c r="F8" s="118">
        <f>IF('GSG Avg Rotations'!L11="","",'GSG Avg Rotations'!L11)</f>
        <v>0</v>
      </c>
      <c r="G8" s="119" t="str">
        <f>IF('5. Usage Summary'!F8="","",'5. Usage Summary'!F8)</f>
        <v/>
      </c>
      <c r="H8" s="119">
        <f>IF('5. Usage Summary'!G8="",0,'5. Usage Summary'!G8)</f>
        <v>0</v>
      </c>
      <c r="I8" s="128" t="e">
        <f t="shared" si="0"/>
        <v>#VALUE!</v>
      </c>
      <c r="J8" s="128">
        <f t="shared" si="1"/>
        <v>0</v>
      </c>
    </row>
    <row r="9" spans="1:10" s="1" customFormat="1" ht="15" customHeight="1" x14ac:dyDescent="0.2">
      <c r="A9" s="350" t="s">
        <v>137</v>
      </c>
      <c r="B9" s="350"/>
      <c r="C9" s="118" t="str">
        <f>IF('5. Usage Summary'!C9="","",'5. Usage Summary'!C9)</f>
        <v/>
      </c>
      <c r="D9" s="118">
        <f>IF('5. Usage Summary'!D9="",0,'5. Usage Summary'!D9)</f>
        <v>0</v>
      </c>
      <c r="E9" s="118">
        <f>IF('GSG Avg Rotations'!K12="","",'GSG Avg Rotations'!K12)</f>
        <v>0</v>
      </c>
      <c r="F9" s="118">
        <f>IF('GSG Avg Rotations'!L12="","",'GSG Avg Rotations'!L12)</f>
        <v>0</v>
      </c>
      <c r="G9" s="119" t="str">
        <f>IF('5. Usage Summary'!F9="","",'5. Usage Summary'!F9)</f>
        <v/>
      </c>
      <c r="H9" s="119">
        <f>IF('5. Usage Summary'!G9="",0,'5. Usage Summary'!G9)</f>
        <v>0</v>
      </c>
      <c r="I9" s="128" t="e">
        <f t="shared" si="0"/>
        <v>#VALUE!</v>
      </c>
      <c r="J9" s="128">
        <f t="shared" si="1"/>
        <v>0</v>
      </c>
    </row>
    <row r="10" spans="1:10" ht="15" customHeight="1" x14ac:dyDescent="0.25">
      <c r="A10" s="350" t="s">
        <v>138</v>
      </c>
      <c r="B10" s="350"/>
      <c r="C10" s="118" t="str">
        <f>IF('5. Usage Summary'!C10="","",'5. Usage Summary'!C10)</f>
        <v/>
      </c>
      <c r="D10" s="118">
        <f>IF('5. Usage Summary'!D10="",0,'5. Usage Summary'!D10)</f>
        <v>0</v>
      </c>
      <c r="E10" s="118">
        <f>IF('GSG Avg Rotations'!K13="","",'GSG Avg Rotations'!K13)</f>
        <v>0</v>
      </c>
      <c r="F10" s="118">
        <f>IF('GSG Avg Rotations'!L13="","",'GSG Avg Rotations'!L13)</f>
        <v>0</v>
      </c>
      <c r="G10" s="119" t="str">
        <f>IF('5. Usage Summary'!F10="","",'5. Usage Summary'!F10)</f>
        <v/>
      </c>
      <c r="H10" s="119">
        <f>IF('5. Usage Summary'!G10="",0,'5. Usage Summary'!G10)</f>
        <v>0</v>
      </c>
      <c r="I10" s="128" t="e">
        <f t="shared" si="0"/>
        <v>#VALUE!</v>
      </c>
      <c r="J10" s="128">
        <f t="shared" si="1"/>
        <v>0</v>
      </c>
    </row>
    <row r="11" spans="1:10" ht="15" customHeight="1" x14ac:dyDescent="0.25">
      <c r="A11" s="350" t="s">
        <v>139</v>
      </c>
      <c r="B11" s="350"/>
      <c r="C11" s="118" t="str">
        <f>IF('5. Usage Summary'!C11="","",'5. Usage Summary'!C11)</f>
        <v/>
      </c>
      <c r="D11" s="118">
        <f>IF('5. Usage Summary'!D11="",0,'5. Usage Summary'!D11)</f>
        <v>0</v>
      </c>
      <c r="E11" s="118">
        <f>IF('GSG Avg Rotations'!K14="","",'GSG Avg Rotations'!K14)</f>
        <v>0</v>
      </c>
      <c r="F11" s="118">
        <f>IF('GSG Avg Rotations'!L14="","",'GSG Avg Rotations'!L14)</f>
        <v>0</v>
      </c>
      <c r="G11" s="119" t="str">
        <f>IF('5. Usage Summary'!F11="","",'5. Usage Summary'!F11)</f>
        <v/>
      </c>
      <c r="H11" s="119">
        <f>IF('5. Usage Summary'!G11="",0,'5. Usage Summary'!G11)</f>
        <v>0</v>
      </c>
      <c r="I11" s="128" t="e">
        <f t="shared" si="0"/>
        <v>#VALUE!</v>
      </c>
      <c r="J11" s="128">
        <f t="shared" si="1"/>
        <v>0</v>
      </c>
    </row>
    <row r="12" spans="1:10" ht="15" customHeight="1" x14ac:dyDescent="0.25">
      <c r="A12" s="350" t="s">
        <v>140</v>
      </c>
      <c r="B12" s="350"/>
      <c r="C12" s="118" t="str">
        <f>IF('5. Usage Summary'!C12="","",'5. Usage Summary'!C12)</f>
        <v/>
      </c>
      <c r="D12" s="118">
        <f>IF('5. Usage Summary'!D12="",0,'5. Usage Summary'!D12)</f>
        <v>0</v>
      </c>
      <c r="E12" s="118">
        <f>IF('GSG Avg Rotations'!K15="","",'GSG Avg Rotations'!K15)</f>
        <v>0</v>
      </c>
      <c r="F12" s="118">
        <f>IF('GSG Avg Rotations'!L15="","",'GSG Avg Rotations'!L15)</f>
        <v>0</v>
      </c>
      <c r="G12" s="119" t="str">
        <f>IF('5. Usage Summary'!F12="","",'5. Usage Summary'!F12)</f>
        <v/>
      </c>
      <c r="H12" s="119">
        <f>IF('5. Usage Summary'!G12="",0,'5. Usage Summary'!G12)</f>
        <v>0</v>
      </c>
      <c r="I12" s="128" t="e">
        <f t="shared" si="0"/>
        <v>#VALUE!</v>
      </c>
      <c r="J12" s="128">
        <f t="shared" si="1"/>
        <v>0</v>
      </c>
    </row>
    <row r="13" spans="1:10" ht="15" customHeight="1" x14ac:dyDescent="0.25">
      <c r="A13" s="350" t="s">
        <v>141</v>
      </c>
      <c r="B13" s="350"/>
      <c r="C13" s="118" t="str">
        <f>IF('5. Usage Summary'!C13="","",'5. Usage Summary'!C13)</f>
        <v/>
      </c>
      <c r="D13" s="118">
        <f>IF('5. Usage Summary'!D13="",0,'5. Usage Summary'!D13)</f>
        <v>0</v>
      </c>
      <c r="E13" s="118">
        <f>IF('GSG Avg Rotations'!K16="","",'GSG Avg Rotations'!K16)</f>
        <v>0</v>
      </c>
      <c r="F13" s="118">
        <f>IF('GSG Avg Rotations'!L16="","",'GSG Avg Rotations'!L16)</f>
        <v>0</v>
      </c>
      <c r="G13" s="119" t="str">
        <f>IF('5. Usage Summary'!F13="","",'5. Usage Summary'!F13)</f>
        <v/>
      </c>
      <c r="H13" s="119">
        <f>IF('5. Usage Summary'!G13="",0,'5. Usage Summary'!G13)</f>
        <v>0</v>
      </c>
      <c r="I13" s="128" t="e">
        <f t="shared" si="0"/>
        <v>#VALUE!</v>
      </c>
      <c r="J13" s="128">
        <f t="shared" si="1"/>
        <v>0</v>
      </c>
    </row>
    <row r="14" spans="1:10" ht="15" customHeight="1" x14ac:dyDescent="0.25">
      <c r="A14" s="350" t="s">
        <v>142</v>
      </c>
      <c r="B14" s="350"/>
      <c r="C14" s="118" t="str">
        <f>IF('5. Usage Summary'!C14="","",'5. Usage Summary'!C14)</f>
        <v/>
      </c>
      <c r="D14" s="118">
        <f>IF('5. Usage Summary'!D14="",0,'5. Usage Summary'!D14)</f>
        <v>0</v>
      </c>
      <c r="E14" s="118">
        <f>IF('GSG Avg Rotations'!K17="","",'GSG Avg Rotations'!K17)</f>
        <v>0</v>
      </c>
      <c r="F14" s="118">
        <f>IF('GSG Avg Rotations'!L17="","",'GSG Avg Rotations'!L17)</f>
        <v>0</v>
      </c>
      <c r="G14" s="119" t="str">
        <f>IF('5. Usage Summary'!F14="","",'5. Usage Summary'!F14)</f>
        <v/>
      </c>
      <c r="H14" s="119">
        <f>IF('5. Usage Summary'!G14="",0,'5. Usage Summary'!G14)</f>
        <v>0</v>
      </c>
      <c r="I14" s="128" t="e">
        <f t="shared" si="0"/>
        <v>#VALUE!</v>
      </c>
      <c r="J14" s="128">
        <f t="shared" si="1"/>
        <v>0</v>
      </c>
    </row>
    <row r="15" spans="1:10" ht="15" customHeight="1" x14ac:dyDescent="0.25">
      <c r="A15" s="350" t="s">
        <v>143</v>
      </c>
      <c r="B15" s="350"/>
      <c r="C15" s="118">
        <f>IF('5. Usage Summary'!C15="",0,'5. Usage Summary'!C15)</f>
        <v>0</v>
      </c>
      <c r="D15" s="118">
        <f>IF('5. Usage Summary'!D15="",0,'5. Usage Summary'!D15)</f>
        <v>0</v>
      </c>
      <c r="E15" s="118">
        <f>IF('GSG Avg Rotations'!K18="","",'GSG Avg Rotations'!K18)</f>
        <v>0</v>
      </c>
      <c r="F15" s="118">
        <f>IF('GSG Avg Rotations'!L18="","",'GSG Avg Rotations'!L18)</f>
        <v>0</v>
      </c>
      <c r="G15" s="119" t="str">
        <f>IF('5. Usage Summary'!F15="","",'5. Usage Summary'!F15)</f>
        <v/>
      </c>
      <c r="H15" s="119">
        <f>IF('5. Usage Summary'!G15="",0,'5. Usage Summary'!G15)</f>
        <v>0</v>
      </c>
      <c r="I15" s="128">
        <f>IF(AND(C15=0,D15=0),0,((C15-G15)*0.00341214+(D15-H15)*0.1)/(($C$16-$G$16)*0.00341214+($D$16-$H$16)*0.1))</f>
        <v>0</v>
      </c>
      <c r="J15" s="128">
        <f t="shared" si="1"/>
        <v>0</v>
      </c>
    </row>
    <row r="16" spans="1:10" ht="15" customHeight="1" x14ac:dyDescent="0.25">
      <c r="A16" s="361" t="s">
        <v>128</v>
      </c>
      <c r="B16" s="361"/>
      <c r="C16" s="126" t="str">
        <f>IF(SUM(C6:C15)=0,"0",SUM(C6:C15))</f>
        <v>0</v>
      </c>
      <c r="D16" s="126" t="str">
        <f>IF(SUM(D6:D15)=0,"0",SUM(D6:D15))</f>
        <v>0</v>
      </c>
      <c r="E16" s="126" t="str">
        <f>IF(SUM(E6:E15)=0,"",SUM(E6:E15))</f>
        <v/>
      </c>
      <c r="F16" s="126" t="str">
        <f>IF(SUM(F6:F15)=0,"0",SUM(F6:F15))</f>
        <v>0</v>
      </c>
      <c r="G16" s="126" t="str">
        <f t="shared" ref="G16" si="2">IF(SUM(G6:G15)=0,"",SUM(G6:G15))</f>
        <v/>
      </c>
      <c r="H16" s="126" t="str">
        <f>IF(SUM(H6:H15)=0,"0",SUM(H6:H15))</f>
        <v>0</v>
      </c>
      <c r="I16" s="128" t="e">
        <f>IF(AND(C16="",D16=""),"",((C16-G16)*0.00341214+(D16-H16)*0.1)/(($C$16-$G$16)*0.00341214+($D$16-$H$16)*0.1))</f>
        <v>#VALUE!</v>
      </c>
      <c r="J16" s="128">
        <f>SUM(J6:J15)</f>
        <v>0</v>
      </c>
    </row>
    <row r="17" spans="1:10" ht="15" customHeight="1" x14ac:dyDescent="0.25">
      <c r="A17" s="349"/>
      <c r="B17" s="349"/>
      <c r="C17" s="349"/>
      <c r="D17" s="349"/>
      <c r="E17" s="349"/>
      <c r="F17" s="349"/>
      <c r="G17" s="349"/>
      <c r="H17" s="349"/>
      <c r="I17" s="349"/>
      <c r="J17" s="389"/>
    </row>
    <row r="18" spans="1:10" x14ac:dyDescent="0.25">
      <c r="A18" s="98"/>
      <c r="B18" s="99"/>
      <c r="C18" s="99"/>
      <c r="D18" s="99"/>
      <c r="E18" s="99"/>
      <c r="F18" s="99"/>
      <c r="G18" s="99"/>
      <c r="H18" s="99"/>
      <c r="I18" s="99"/>
      <c r="J18" s="100"/>
    </row>
    <row r="19" spans="1:10" x14ac:dyDescent="0.25">
      <c r="A19" s="34" t="s">
        <v>560</v>
      </c>
      <c r="B19" s="361" t="s">
        <v>561</v>
      </c>
      <c r="C19" s="361"/>
      <c r="D19" s="361"/>
      <c r="E19" s="361"/>
      <c r="F19" s="361"/>
      <c r="G19" s="361"/>
      <c r="H19" s="361"/>
      <c r="I19" s="361"/>
      <c r="J19" s="361"/>
    </row>
    <row r="20" spans="1:10" x14ac:dyDescent="0.25">
      <c r="A20" s="68"/>
      <c r="B20" s="220" t="s">
        <v>562</v>
      </c>
      <c r="C20" s="110"/>
      <c r="D20" s="110"/>
      <c r="E20" s="110"/>
      <c r="F20" s="110"/>
      <c r="G20" s="110"/>
      <c r="H20" s="110"/>
      <c r="I20" s="110"/>
      <c r="J20" s="111"/>
    </row>
    <row r="21" spans="1:10" x14ac:dyDescent="0.25">
      <c r="A21" s="69"/>
      <c r="B21" s="122" t="s">
        <v>963</v>
      </c>
      <c r="C21" s="122"/>
      <c r="D21" s="122"/>
      <c r="E21" s="122"/>
      <c r="F21" s="122"/>
      <c r="G21" s="122"/>
      <c r="H21" s="122"/>
      <c r="I21" s="122"/>
      <c r="J21" s="123"/>
    </row>
    <row r="22" spans="1:10" x14ac:dyDescent="0.25">
      <c r="A22" s="69"/>
      <c r="B22" s="122"/>
      <c r="C22" s="122"/>
      <c r="D22" s="122"/>
      <c r="E22" s="122"/>
      <c r="F22" s="122"/>
      <c r="G22" s="122"/>
      <c r="H22" s="122"/>
      <c r="I22" s="122"/>
      <c r="J22" s="123"/>
    </row>
    <row r="23" spans="1:10" x14ac:dyDescent="0.25">
      <c r="A23" s="69"/>
      <c r="B23" s="122"/>
      <c r="C23" s="122"/>
      <c r="D23" s="122"/>
      <c r="E23" s="122"/>
      <c r="F23" s="122"/>
      <c r="G23" s="122"/>
      <c r="H23" s="122"/>
      <c r="I23" s="122"/>
      <c r="J23" s="123"/>
    </row>
    <row r="24" spans="1:10" x14ac:dyDescent="0.25">
      <c r="A24" s="69"/>
      <c r="B24" s="122"/>
      <c r="C24" s="122"/>
      <c r="D24" s="122"/>
      <c r="E24" s="122"/>
      <c r="F24" s="122"/>
      <c r="G24" s="122"/>
      <c r="H24" s="122"/>
      <c r="I24" s="122"/>
      <c r="J24" s="123"/>
    </row>
    <row r="25" spans="1:10" x14ac:dyDescent="0.25">
      <c r="A25" s="69"/>
      <c r="B25" s="122"/>
      <c r="C25" s="122"/>
      <c r="D25" s="122"/>
      <c r="E25" s="122"/>
      <c r="F25" s="122"/>
      <c r="G25" s="122"/>
      <c r="H25" s="122"/>
      <c r="I25" s="122"/>
      <c r="J25" s="123"/>
    </row>
    <row r="26" spans="1:10" x14ac:dyDescent="0.25">
      <c r="A26" s="69"/>
      <c r="B26" s="122"/>
      <c r="C26" s="122"/>
      <c r="D26" s="122"/>
      <c r="E26" s="122"/>
      <c r="F26" s="122"/>
      <c r="G26" s="122"/>
      <c r="H26" s="122"/>
      <c r="I26" s="122"/>
      <c r="J26" s="123"/>
    </row>
    <row r="27" spans="1:10" x14ac:dyDescent="0.25">
      <c r="A27" s="69"/>
      <c r="B27" s="122"/>
      <c r="C27" s="122"/>
      <c r="D27" s="122"/>
      <c r="E27" s="122"/>
      <c r="F27" s="122"/>
      <c r="G27" s="122"/>
      <c r="H27" s="122"/>
      <c r="I27" s="122"/>
      <c r="J27" s="123"/>
    </row>
    <row r="28" spans="1:10" x14ac:dyDescent="0.25">
      <c r="A28" s="69"/>
      <c r="B28" s="122"/>
      <c r="C28" s="122"/>
      <c r="D28" s="122"/>
      <c r="E28" s="122"/>
      <c r="F28" s="122"/>
      <c r="G28" s="122"/>
      <c r="H28" s="122"/>
      <c r="I28" s="122"/>
      <c r="J28" s="123"/>
    </row>
    <row r="29" spans="1:10" x14ac:dyDescent="0.25">
      <c r="A29" s="69"/>
      <c r="B29" s="122"/>
      <c r="C29" s="122"/>
      <c r="D29" s="122"/>
      <c r="E29" s="122"/>
      <c r="F29" s="122"/>
      <c r="G29" s="122"/>
      <c r="H29" s="122"/>
      <c r="I29" s="122"/>
      <c r="J29" s="123"/>
    </row>
    <row r="30" spans="1:10" x14ac:dyDescent="0.25">
      <c r="A30" s="69"/>
      <c r="B30" s="122"/>
      <c r="C30" s="122"/>
      <c r="D30" s="122"/>
      <c r="E30" s="122"/>
      <c r="F30" s="122"/>
      <c r="G30" s="122"/>
      <c r="H30" s="122"/>
      <c r="I30" s="122"/>
      <c r="J30" s="123"/>
    </row>
    <row r="31" spans="1:10" x14ac:dyDescent="0.25">
      <c r="A31" s="69"/>
      <c r="B31" s="122"/>
      <c r="C31" s="122"/>
      <c r="D31" s="122"/>
      <c r="E31" s="122"/>
      <c r="F31" s="122"/>
      <c r="G31" s="122"/>
      <c r="H31" s="122"/>
      <c r="I31" s="122"/>
      <c r="J31" s="123"/>
    </row>
    <row r="32" spans="1:10" x14ac:dyDescent="0.25">
      <c r="A32" s="70"/>
      <c r="B32" s="124"/>
      <c r="C32" s="124"/>
      <c r="D32" s="124"/>
      <c r="E32" s="124"/>
      <c r="F32" s="124"/>
      <c r="G32" s="124"/>
      <c r="H32" s="124"/>
      <c r="I32" s="124"/>
      <c r="J32" s="125"/>
    </row>
  </sheetData>
  <mergeCells count="18">
    <mergeCell ref="A13:B13"/>
    <mergeCell ref="A14:B14"/>
    <mergeCell ref="A15:B15"/>
    <mergeCell ref="A16:B16"/>
    <mergeCell ref="B19:J19"/>
    <mergeCell ref="A17:J17"/>
    <mergeCell ref="A12:B12"/>
    <mergeCell ref="B3:J3"/>
    <mergeCell ref="A4:B4"/>
    <mergeCell ref="C4:D4"/>
    <mergeCell ref="E4:F4"/>
    <mergeCell ref="A5:B5"/>
    <mergeCell ref="A6:B6"/>
    <mergeCell ref="A7:B7"/>
    <mergeCell ref="A8:B8"/>
    <mergeCell ref="A9:B9"/>
    <mergeCell ref="A10:B10"/>
    <mergeCell ref="A11:B11"/>
  </mergeCells>
  <pageMargins left="0.25" right="0.25" top="0.75" bottom="0.75" header="0.3" footer="0.3"/>
  <pageSetup scale="80" orientation="portrait" r:id="rId1"/>
  <headerFooter>
    <oddHeader>&amp;LNYC SCA&amp;C&amp;A</oddHeader>
    <oddFooter xml:space="preserve">&amp;R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2">
    <tabColor theme="8"/>
  </sheetPr>
  <dimension ref="A3:O16"/>
  <sheetViews>
    <sheetView view="pageLayout" zoomScale="90" zoomScaleNormal="100" zoomScaleSheetLayoutView="100" zoomScalePageLayoutView="90" workbookViewId="0">
      <selection activeCell="T7" sqref="T7"/>
    </sheetView>
  </sheetViews>
  <sheetFormatPr defaultRowHeight="15" x14ac:dyDescent="0.25"/>
  <cols>
    <col min="1" max="1" width="3.5703125" customWidth="1"/>
    <col min="2" max="2" width="5.28515625" customWidth="1"/>
    <col min="3" max="3" width="2.140625" customWidth="1"/>
    <col min="4" max="4" width="17.42578125" customWidth="1"/>
    <col min="5" max="6" width="6.7109375" bestFit="1" customWidth="1"/>
    <col min="7" max="7" width="5.7109375" customWidth="1"/>
    <col min="8" max="8" width="17.42578125" customWidth="1"/>
    <col min="9" max="10" width="6.7109375" bestFit="1" customWidth="1"/>
    <col min="11" max="11" width="5.7109375" customWidth="1"/>
    <col min="12" max="12" width="10.7109375" customWidth="1"/>
    <col min="13" max="13" width="5.5703125" customWidth="1"/>
    <col min="14" max="15" width="5.7109375" customWidth="1"/>
  </cols>
  <sheetData>
    <row r="3" spans="1:15" ht="15.75" customHeight="1" x14ac:dyDescent="0.25">
      <c r="A3" s="41" t="s">
        <v>693</v>
      </c>
      <c r="B3" s="391" t="s">
        <v>145</v>
      </c>
      <c r="C3" s="392"/>
      <c r="D3" s="392"/>
      <c r="E3" s="392"/>
      <c r="F3" s="392"/>
      <c r="G3" s="392"/>
      <c r="H3" s="392"/>
      <c r="I3" s="392"/>
      <c r="J3" s="392"/>
      <c r="K3" s="392"/>
      <c r="L3" s="392"/>
      <c r="M3" s="392"/>
      <c r="N3" s="392"/>
      <c r="O3" s="392"/>
    </row>
    <row r="4" spans="1:15" s="1" customFormat="1" ht="22.5" customHeight="1" x14ac:dyDescent="0.2">
      <c r="A4" s="390" t="s">
        <v>0</v>
      </c>
      <c r="B4" s="390"/>
      <c r="C4" s="39"/>
      <c r="D4" s="390" t="s">
        <v>914</v>
      </c>
      <c r="E4" s="390"/>
      <c r="F4" s="390"/>
      <c r="G4" s="390"/>
      <c r="H4" s="390" t="s">
        <v>766</v>
      </c>
      <c r="I4" s="390"/>
      <c r="J4" s="390"/>
      <c r="K4" s="390"/>
      <c r="L4" s="390" t="s">
        <v>24</v>
      </c>
      <c r="M4" s="390"/>
      <c r="N4" s="390"/>
      <c r="O4" s="390"/>
    </row>
    <row r="5" spans="1:15" s="1" customFormat="1" ht="22.5" x14ac:dyDescent="0.2">
      <c r="A5" s="390"/>
      <c r="B5" s="390"/>
      <c r="C5" s="40" t="s">
        <v>147</v>
      </c>
      <c r="D5" s="39" t="s">
        <v>157</v>
      </c>
      <c r="E5" s="39" t="s">
        <v>154</v>
      </c>
      <c r="F5" s="39" t="s">
        <v>114</v>
      </c>
      <c r="G5" s="39" t="s">
        <v>115</v>
      </c>
      <c r="H5" s="39" t="s">
        <v>157</v>
      </c>
      <c r="I5" s="39" t="s">
        <v>154</v>
      </c>
      <c r="J5" s="39" t="s">
        <v>114</v>
      </c>
      <c r="K5" s="39" t="s">
        <v>115</v>
      </c>
      <c r="L5" s="39" t="s">
        <v>148</v>
      </c>
      <c r="M5" s="39" t="s">
        <v>154</v>
      </c>
      <c r="N5" s="39" t="s">
        <v>114</v>
      </c>
      <c r="O5" s="39" t="s">
        <v>115</v>
      </c>
    </row>
    <row r="6" spans="1:15" s="1" customFormat="1" ht="24" customHeight="1" x14ac:dyDescent="0.2">
      <c r="A6" s="390" t="s">
        <v>155</v>
      </c>
      <c r="B6" s="390"/>
      <c r="C6" s="39">
        <v>1</v>
      </c>
      <c r="D6" s="133" t="str">
        <f>IF(ISBLANK('6b. Fenestration'!E6),"",'6b. Fenestration'!E6)</f>
        <v/>
      </c>
      <c r="E6" s="182" t="str">
        <f>'6b. Fenestration'!F6</f>
        <v/>
      </c>
      <c r="F6" s="182" t="str">
        <f>'6b. Fenestration'!G6</f>
        <v/>
      </c>
      <c r="G6" s="182" t="str">
        <f>'6b. Fenestration'!H6</f>
        <v/>
      </c>
      <c r="H6" s="116"/>
      <c r="I6" s="77" t="str">
        <f>IF(H6="","",INDEX(GSG_List!$A$4:$D$8,(MATCH($H6,GSG_List!$A$4:$A$8,0)),2))</f>
        <v/>
      </c>
      <c r="J6" s="78" t="str">
        <f>IF(H6="","",INDEX(GSG_List!$A$10:$D$14,(MATCH($H6,GSG_List!$A$10:$A$14,0)),2))</f>
        <v/>
      </c>
      <c r="K6" s="78" t="str">
        <f>IFERROR(1.1*J6,"")</f>
        <v/>
      </c>
      <c r="L6" s="133" t="str">
        <f>IF(ISBLANK('6b. Fenestration'!I6),"",'6b. Fenestration'!I6)</f>
        <v/>
      </c>
      <c r="M6" s="133" t="str">
        <f>IF(ISBLANK('6b. Fenestration'!J6),"",'6b. Fenestration'!J6)</f>
        <v/>
      </c>
      <c r="N6" s="133" t="str">
        <f>IF(ISBLANK('6b. Fenestration'!K6),"",'6b. Fenestration'!K6)</f>
        <v/>
      </c>
      <c r="O6" s="133" t="str">
        <f>IF(ISBLANK('6b. Fenestration'!L6),"",'6b. Fenestration'!L6)</f>
        <v/>
      </c>
    </row>
    <row r="7" spans="1:15" s="1" customFormat="1" ht="24" customHeight="1" x14ac:dyDescent="0.2">
      <c r="A7" s="390" t="s">
        <v>155</v>
      </c>
      <c r="B7" s="390"/>
      <c r="C7" s="39">
        <v>2</v>
      </c>
      <c r="D7" s="133" t="str">
        <f>IF(ISBLANK('6b. Fenestration'!E7),"",'6b. Fenestration'!E7)</f>
        <v/>
      </c>
      <c r="E7" s="182" t="str">
        <f>'6b. Fenestration'!F7</f>
        <v/>
      </c>
      <c r="F7" s="182" t="str">
        <f>'6b. Fenestration'!G7</f>
        <v/>
      </c>
      <c r="G7" s="182" t="str">
        <f>'6b. Fenestration'!H7</f>
        <v/>
      </c>
      <c r="H7" s="116"/>
      <c r="I7" s="77" t="str">
        <f>IF(H7="","",INDEX(GSG_List!$A$4:$D$8,(MATCH($H7,GSG_List!$A$4:$A$8,0)),2))</f>
        <v/>
      </c>
      <c r="J7" s="78" t="str">
        <f>IF(H7="","",INDEX(GSG_List!$A$10:$D$14,(MATCH($H7,GSG_List!$A$10:$A$14,0)),2))</f>
        <v/>
      </c>
      <c r="K7" s="78" t="str">
        <f t="shared" ref="K7:K14" si="0">IFERROR(1.1*J7,"")</f>
        <v/>
      </c>
      <c r="L7" s="133" t="str">
        <f>IF(ISBLANK('6b. Fenestration'!I7),"",'6b. Fenestration'!I7)</f>
        <v/>
      </c>
      <c r="M7" s="133" t="str">
        <f>IF(ISBLANK('6b. Fenestration'!J7),"",'6b. Fenestration'!J7)</f>
        <v/>
      </c>
      <c r="N7" s="133" t="str">
        <f>IF(ISBLANK('6b. Fenestration'!K7),"",'6b. Fenestration'!K7)</f>
        <v/>
      </c>
      <c r="O7" s="133" t="str">
        <f>IF(ISBLANK('6b. Fenestration'!L7),"",'6b. Fenestration'!L7)</f>
        <v/>
      </c>
    </row>
    <row r="8" spans="1:15" s="1" customFormat="1" ht="24" customHeight="1" x14ac:dyDescent="0.2">
      <c r="A8" s="390" t="s">
        <v>155</v>
      </c>
      <c r="B8" s="390"/>
      <c r="C8" s="39">
        <v>3</v>
      </c>
      <c r="D8" s="133" t="str">
        <f>IF(ISBLANK('6b. Fenestration'!E8),"",'6b. Fenestration'!E8)</f>
        <v/>
      </c>
      <c r="E8" s="182" t="str">
        <f>'6b. Fenestration'!F8</f>
        <v/>
      </c>
      <c r="F8" s="182" t="str">
        <f>'6b. Fenestration'!G8</f>
        <v/>
      </c>
      <c r="G8" s="182" t="str">
        <f>'6b. Fenestration'!H8</f>
        <v/>
      </c>
      <c r="H8" s="116"/>
      <c r="I8" s="77" t="str">
        <f>IF(H8="","",INDEX(GSG_List!$A$4:$D$8,(MATCH($H8,GSG_List!$A$4:$A$8,0)),2))</f>
        <v/>
      </c>
      <c r="J8" s="78" t="str">
        <f>IF(H8="","",INDEX(GSG_List!$A$10:$D$14,(MATCH($H8,GSG_List!$A$10:$A$14,0)),2))</f>
        <v/>
      </c>
      <c r="K8" s="78" t="str">
        <f t="shared" si="0"/>
        <v/>
      </c>
      <c r="L8" s="133" t="str">
        <f>IF(ISBLANK('6b. Fenestration'!I8),"",'6b. Fenestration'!I8)</f>
        <v/>
      </c>
      <c r="M8" s="133" t="str">
        <f>IF(ISBLANK('6b. Fenestration'!J8),"",'6b. Fenestration'!J8)</f>
        <v/>
      </c>
      <c r="N8" s="133" t="str">
        <f>IF(ISBLANK('6b. Fenestration'!K8),"",'6b. Fenestration'!K8)</f>
        <v/>
      </c>
      <c r="O8" s="133" t="str">
        <f>IF(ISBLANK('6b. Fenestration'!L8),"",'6b. Fenestration'!L8)</f>
        <v/>
      </c>
    </row>
    <row r="9" spans="1:15" s="1" customFormat="1" ht="24" customHeight="1" x14ac:dyDescent="0.2">
      <c r="A9" s="390" t="s">
        <v>155</v>
      </c>
      <c r="B9" s="390"/>
      <c r="C9" s="39">
        <v>4</v>
      </c>
      <c r="D9" s="133" t="str">
        <f>IF(ISBLANK('6b. Fenestration'!E9),"",'6b. Fenestration'!E9)</f>
        <v/>
      </c>
      <c r="E9" s="182" t="str">
        <f>'6b. Fenestration'!F9</f>
        <v/>
      </c>
      <c r="F9" s="182" t="str">
        <f>'6b. Fenestration'!G9</f>
        <v/>
      </c>
      <c r="G9" s="182" t="str">
        <f>'6b. Fenestration'!H9</f>
        <v/>
      </c>
      <c r="H9" s="116"/>
      <c r="I9" s="77" t="str">
        <f>IF(H9="","",INDEX(GSG_List!$A$4:$D$8,(MATCH($H9,GSG_List!$A$4:$A$8,0)),2))</f>
        <v/>
      </c>
      <c r="J9" s="78" t="str">
        <f>IF(H9="","",INDEX(GSG_List!$A$10:$D$14,(MATCH($H9,GSG_List!$A$10:$A$14,0)),2))</f>
        <v/>
      </c>
      <c r="K9" s="78" t="str">
        <f t="shared" si="0"/>
        <v/>
      </c>
      <c r="L9" s="133" t="str">
        <f>IF(ISBLANK('6b. Fenestration'!I9),"",'6b. Fenestration'!I9)</f>
        <v/>
      </c>
      <c r="M9" s="133" t="str">
        <f>IF(ISBLANK('6b. Fenestration'!J9),"",'6b. Fenestration'!J9)</f>
        <v/>
      </c>
      <c r="N9" s="133" t="str">
        <f>IF(ISBLANK('6b. Fenestration'!K9),"",'6b. Fenestration'!K9)</f>
        <v/>
      </c>
      <c r="O9" s="133" t="str">
        <f>IF(ISBLANK('6b. Fenestration'!L9),"",'6b. Fenestration'!L9)</f>
        <v/>
      </c>
    </row>
    <row r="10" spans="1:15" s="1" customFormat="1" ht="24" customHeight="1" x14ac:dyDescent="0.2">
      <c r="A10" s="390" t="s">
        <v>155</v>
      </c>
      <c r="B10" s="390"/>
      <c r="C10" s="39">
        <v>5</v>
      </c>
      <c r="D10" s="133" t="str">
        <f>IF(ISBLANK('6b. Fenestration'!E10),"",'6b. Fenestration'!E10)</f>
        <v/>
      </c>
      <c r="E10" s="182" t="str">
        <f>'6b. Fenestration'!F10</f>
        <v/>
      </c>
      <c r="F10" s="182" t="str">
        <f>'6b. Fenestration'!G10</f>
        <v/>
      </c>
      <c r="G10" s="182" t="str">
        <f>'6b. Fenestration'!H10</f>
        <v/>
      </c>
      <c r="H10" s="116"/>
      <c r="I10" s="77" t="str">
        <f>IF(H10="","",INDEX(GSG_List!$A$4:$D$8,(MATCH($H10,GSG_List!$A$4:$A$8,0)),2))</f>
        <v/>
      </c>
      <c r="J10" s="78" t="str">
        <f>IF(H10="","",INDEX(GSG_List!$A$10:$D$14,(MATCH($H10,GSG_List!$A$10:$A$14,0)),2))</f>
        <v/>
      </c>
      <c r="K10" s="78" t="str">
        <f t="shared" si="0"/>
        <v/>
      </c>
      <c r="L10" s="133" t="str">
        <f>IF(ISBLANK('6b. Fenestration'!I10),"",'6b. Fenestration'!I10)</f>
        <v/>
      </c>
      <c r="M10" s="133" t="str">
        <f>IF(ISBLANK('6b. Fenestration'!J10),"",'6b. Fenestration'!J10)</f>
        <v/>
      </c>
      <c r="N10" s="133" t="str">
        <f>IF(ISBLANK('6b. Fenestration'!K10),"",'6b. Fenestration'!K10)</f>
        <v/>
      </c>
      <c r="O10" s="133" t="str">
        <f>IF(ISBLANK('6b. Fenestration'!L10),"",'6b. Fenestration'!L10)</f>
        <v/>
      </c>
    </row>
    <row r="11" spans="1:15" ht="24" customHeight="1" x14ac:dyDescent="0.25">
      <c r="A11" s="390" t="s">
        <v>155</v>
      </c>
      <c r="B11" s="390"/>
      <c r="C11" s="39">
        <v>6</v>
      </c>
      <c r="D11" s="133" t="str">
        <f>IF(ISBLANK('6b. Fenestration'!E11),"",'6b. Fenestration'!E11)</f>
        <v/>
      </c>
      <c r="E11" s="182" t="str">
        <f>'6b. Fenestration'!F11</f>
        <v/>
      </c>
      <c r="F11" s="182" t="str">
        <f>'6b. Fenestration'!G11</f>
        <v/>
      </c>
      <c r="G11" s="182" t="str">
        <f>'6b. Fenestration'!H11</f>
        <v/>
      </c>
      <c r="H11" s="116"/>
      <c r="I11" s="77" t="str">
        <f>IF(H11="","",INDEX(GSG_List!$A$4:$D$8,(MATCH($H11,GSG_List!$A$4:$A$8,0)),2))</f>
        <v/>
      </c>
      <c r="J11" s="78" t="str">
        <f>IF(H11="","",INDEX(GSG_List!$A$10:$D$14,(MATCH($H11,GSG_List!$A$10:$A$14,0)),2))</f>
        <v/>
      </c>
      <c r="K11" s="78" t="str">
        <f t="shared" si="0"/>
        <v/>
      </c>
      <c r="L11" s="133" t="str">
        <f>IF(ISBLANK('6b. Fenestration'!I11),"",'6b. Fenestration'!I11)</f>
        <v/>
      </c>
      <c r="M11" s="133" t="str">
        <f>IF(ISBLANK('6b. Fenestration'!J11),"",'6b. Fenestration'!J11)</f>
        <v/>
      </c>
      <c r="N11" s="133" t="str">
        <f>IF(ISBLANK('6b. Fenestration'!K11),"",'6b. Fenestration'!K11)</f>
        <v/>
      </c>
      <c r="O11" s="133" t="str">
        <f>IF(ISBLANK('6b. Fenestration'!L11),"",'6b. Fenestration'!L11)</f>
        <v/>
      </c>
    </row>
    <row r="12" spans="1:15" ht="24" customHeight="1" x14ac:dyDescent="0.25">
      <c r="A12" s="390" t="s">
        <v>155</v>
      </c>
      <c r="B12" s="390"/>
      <c r="C12" s="39">
        <v>7</v>
      </c>
      <c r="D12" s="133" t="str">
        <f>IF(ISBLANK('6b. Fenestration'!E12),"",'6b. Fenestration'!E12)</f>
        <v/>
      </c>
      <c r="E12" s="182" t="str">
        <f>'6b. Fenestration'!F12</f>
        <v/>
      </c>
      <c r="F12" s="182" t="str">
        <f>'6b. Fenestration'!G12</f>
        <v/>
      </c>
      <c r="G12" s="182" t="str">
        <f>'6b. Fenestration'!H12</f>
        <v/>
      </c>
      <c r="H12" s="116"/>
      <c r="I12" s="77" t="str">
        <f>IF(H12="","",INDEX(GSG_List!$A$4:$D$8,(MATCH($H12,GSG_List!$A$4:$A$8,0)),2))</f>
        <v/>
      </c>
      <c r="J12" s="78" t="str">
        <f>IF(H12="","",INDEX(GSG_List!$A$10:$D$14,(MATCH($H12,GSG_List!$A$10:$A$14,0)),2))</f>
        <v/>
      </c>
      <c r="K12" s="78" t="str">
        <f t="shared" si="0"/>
        <v/>
      </c>
      <c r="L12" s="133" t="str">
        <f>IF(ISBLANK('6b. Fenestration'!I12),"",'6b. Fenestration'!I12)</f>
        <v/>
      </c>
      <c r="M12" s="133" t="str">
        <f>IF(ISBLANK('6b. Fenestration'!J12),"",'6b. Fenestration'!J12)</f>
        <v/>
      </c>
      <c r="N12" s="133" t="str">
        <f>IF(ISBLANK('6b. Fenestration'!K12),"",'6b. Fenestration'!K12)</f>
        <v/>
      </c>
      <c r="O12" s="133" t="str">
        <f>IF(ISBLANK('6b. Fenestration'!L12),"",'6b. Fenestration'!L12)</f>
        <v/>
      </c>
    </row>
    <row r="13" spans="1:15" ht="24" customHeight="1" x14ac:dyDescent="0.25">
      <c r="A13" s="390" t="s">
        <v>156</v>
      </c>
      <c r="B13" s="390"/>
      <c r="C13" s="39">
        <v>1</v>
      </c>
      <c r="D13" s="133" t="str">
        <f>IF(ISBLANK('6b. Fenestration'!E13),"",'6b. Fenestration'!E13)</f>
        <v/>
      </c>
      <c r="E13" s="182" t="str">
        <f>'6b. Fenestration'!F13</f>
        <v/>
      </c>
      <c r="F13" s="182" t="str">
        <f>'6b. Fenestration'!G13</f>
        <v/>
      </c>
      <c r="G13" s="182" t="str">
        <f>'6b. Fenestration'!H13</f>
        <v/>
      </c>
      <c r="H13" s="116"/>
      <c r="I13" s="77" t="str">
        <f>IF(H13="","",INDEX(GSG_List!$A$4:$D$8,(MATCH($H13,GSG_List!$A$4:$A$8,0)),2))</f>
        <v/>
      </c>
      <c r="J13" s="78" t="str">
        <f>IF(H13="","",INDEX(GSG_List!$A$10:$D$14,(MATCH($H13,GSG_List!$A$10:$A$14,0)),2))</f>
        <v/>
      </c>
      <c r="K13" s="78" t="str">
        <f t="shared" si="0"/>
        <v/>
      </c>
      <c r="L13" s="133" t="str">
        <f>IF(ISBLANK('6b. Fenestration'!I13),"",'6b. Fenestration'!I13)</f>
        <v/>
      </c>
      <c r="M13" s="133" t="str">
        <f>IF(ISBLANK('6b. Fenestration'!J13),"",'6b. Fenestration'!J13)</f>
        <v/>
      </c>
      <c r="N13" s="133" t="str">
        <f>IF(ISBLANK('6b. Fenestration'!K13),"",'6b. Fenestration'!K13)</f>
        <v/>
      </c>
      <c r="O13" s="133" t="str">
        <f>IF(ISBLANK('6b. Fenestration'!L13),"",'6b. Fenestration'!L13)</f>
        <v/>
      </c>
    </row>
    <row r="14" spans="1:15" ht="24" customHeight="1" x14ac:dyDescent="0.25">
      <c r="A14" s="390" t="s">
        <v>156</v>
      </c>
      <c r="B14" s="390"/>
      <c r="C14" s="39">
        <v>2</v>
      </c>
      <c r="D14" s="133" t="str">
        <f>IF(ISBLANK('6b. Fenestration'!E14),"",'6b. Fenestration'!E14)</f>
        <v/>
      </c>
      <c r="E14" s="182" t="str">
        <f>'6b. Fenestration'!F14</f>
        <v/>
      </c>
      <c r="F14" s="182" t="str">
        <f>'6b. Fenestration'!G14</f>
        <v/>
      </c>
      <c r="G14" s="182" t="str">
        <f>'6b. Fenestration'!H14</f>
        <v/>
      </c>
      <c r="H14" s="116"/>
      <c r="I14" s="77" t="str">
        <f>IF(H14="","",INDEX(GSG_List!$A$4:$D$8,(MATCH($H14,GSG_List!$A$4:$A$8,0)),2))</f>
        <v/>
      </c>
      <c r="J14" s="78" t="str">
        <f>IF(H14="","",INDEX(GSG_List!$A$10:$D$14,(MATCH($H14,GSG_List!$A$10:$A$14,0)),2))</f>
        <v/>
      </c>
      <c r="K14" s="78" t="str">
        <f t="shared" si="0"/>
        <v/>
      </c>
      <c r="L14" s="133" t="str">
        <f>IF(ISBLANK('6b. Fenestration'!I14),"",'6b. Fenestration'!I14)</f>
        <v/>
      </c>
      <c r="M14" s="133" t="str">
        <f>IF(ISBLANK('6b. Fenestration'!J14),"",'6b. Fenestration'!J14)</f>
        <v/>
      </c>
      <c r="N14" s="133" t="str">
        <f>IF(ISBLANK('6b. Fenestration'!K14),"",'6b. Fenestration'!K14)</f>
        <v/>
      </c>
      <c r="O14" s="133" t="str">
        <f>IF(ISBLANK('6b. Fenestration'!L14),"",'6b. Fenestration'!L14)</f>
        <v/>
      </c>
    </row>
    <row r="15" spans="1:15" ht="27" customHeight="1" x14ac:dyDescent="0.25">
      <c r="A15" s="395" t="s">
        <v>116</v>
      </c>
      <c r="B15" s="396"/>
      <c r="C15" s="399"/>
      <c r="D15" s="394" t="s">
        <v>427</v>
      </c>
      <c r="E15" s="394"/>
      <c r="F15" s="394"/>
      <c r="G15" s="394"/>
      <c r="H15" s="394" t="s">
        <v>427</v>
      </c>
      <c r="I15" s="394"/>
      <c r="J15" s="394"/>
      <c r="K15" s="394"/>
      <c r="L15" s="393" t="s">
        <v>117</v>
      </c>
      <c r="M15" s="393"/>
      <c r="N15" s="393"/>
      <c r="O15" s="393"/>
    </row>
    <row r="16" spans="1:15" ht="32.25" customHeight="1" x14ac:dyDescent="0.25">
      <c r="A16" s="397"/>
      <c r="B16" s="398"/>
      <c r="C16" s="399"/>
      <c r="D16" s="394" t="s">
        <v>428</v>
      </c>
      <c r="E16" s="394"/>
      <c r="F16" s="394"/>
      <c r="G16" s="394"/>
      <c r="H16" s="394" t="s">
        <v>428</v>
      </c>
      <c r="I16" s="394"/>
      <c r="J16" s="394"/>
      <c r="K16" s="394"/>
      <c r="L16" s="393"/>
      <c r="M16" s="393"/>
      <c r="N16" s="393"/>
      <c r="O16" s="393"/>
    </row>
  </sheetData>
  <mergeCells count="21">
    <mergeCell ref="L15:O16"/>
    <mergeCell ref="D16:G16"/>
    <mergeCell ref="H16:K16"/>
    <mergeCell ref="A13:B13"/>
    <mergeCell ref="A14:B14"/>
    <mergeCell ref="A15:B16"/>
    <mergeCell ref="C15:C16"/>
    <mergeCell ref="D15:G15"/>
    <mergeCell ref="H15:K15"/>
    <mergeCell ref="A12:B12"/>
    <mergeCell ref="B3:O3"/>
    <mergeCell ref="A4:B5"/>
    <mergeCell ref="D4:G4"/>
    <mergeCell ref="H4:K4"/>
    <mergeCell ref="L4:O4"/>
    <mergeCell ref="A6:B6"/>
    <mergeCell ref="A7:B7"/>
    <mergeCell ref="A8:B8"/>
    <mergeCell ref="A9:B9"/>
    <mergeCell ref="A10:B10"/>
    <mergeCell ref="A11:B11"/>
  </mergeCells>
  <dataValidations count="1">
    <dataValidation type="list" allowBlank="1" showInputMessage="1" showErrorMessage="1" sqref="H6 H7:H9 H11:H12 H10" xr:uid="{00000000-0002-0000-0E00-000000000000}">
      <formula1>GSG_Fenestration</formula1>
    </dataValidation>
  </dataValidations>
  <pageMargins left="0.25" right="0.25" top="0.75" bottom="0.75" header="0.3" footer="0.3"/>
  <pageSetup scale="80" orientation="landscape"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GSG_List!$A$17:$A$18</xm:f>
          </x14:formula1>
          <xm:sqref>H14 H13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3">
    <tabColor theme="8"/>
  </sheetPr>
  <dimension ref="A2:K12"/>
  <sheetViews>
    <sheetView view="pageLayout" zoomScaleNormal="100" zoomScaleSheetLayoutView="100" workbookViewId="0">
      <selection activeCell="H4" sqref="H4"/>
    </sheetView>
  </sheetViews>
  <sheetFormatPr defaultRowHeight="15" x14ac:dyDescent="0.25"/>
  <cols>
    <col min="1" max="1" width="11.85546875" customWidth="1"/>
    <col min="2" max="2" width="10.85546875" customWidth="1"/>
    <col min="3" max="3" width="3.85546875" customWidth="1"/>
    <col min="4" max="4" width="19.5703125" customWidth="1"/>
    <col min="5" max="5" width="11.140625" customWidth="1"/>
    <col min="6" max="6" width="19.5703125" customWidth="1"/>
    <col min="7" max="7" width="11.140625" customWidth="1"/>
    <col min="8" max="8" width="31.42578125" customWidth="1"/>
    <col min="9" max="9" width="13.5703125" customWidth="1"/>
    <col min="10" max="10" width="8.5703125" customWidth="1"/>
    <col min="11" max="11" width="5.7109375" customWidth="1"/>
    <col min="12" max="12" width="14.85546875" customWidth="1"/>
    <col min="13" max="13" width="15.140625" customWidth="1"/>
  </cols>
  <sheetData>
    <row r="2" spans="1:11" s="1" customFormat="1" ht="24.75" customHeight="1" x14ac:dyDescent="0.2">
      <c r="A2" s="103"/>
      <c r="B2" s="390" t="s">
        <v>168</v>
      </c>
      <c r="C2" s="401" t="s">
        <v>147</v>
      </c>
      <c r="D2" s="390" t="s">
        <v>914</v>
      </c>
      <c r="E2" s="390"/>
      <c r="F2" s="390" t="s">
        <v>766</v>
      </c>
      <c r="G2" s="390"/>
      <c r="H2" s="390" t="s">
        <v>24</v>
      </c>
      <c r="I2" s="390"/>
      <c r="J2" s="39"/>
      <c r="K2" s="3"/>
    </row>
    <row r="3" spans="1:11" s="1" customFormat="1" ht="33.75" x14ac:dyDescent="0.2">
      <c r="A3" s="102" t="s">
        <v>0</v>
      </c>
      <c r="B3" s="390"/>
      <c r="C3" s="401"/>
      <c r="D3" s="39" t="s">
        <v>1</v>
      </c>
      <c r="E3" s="39" t="s">
        <v>196</v>
      </c>
      <c r="F3" s="39" t="s">
        <v>1</v>
      </c>
      <c r="G3" s="39" t="s">
        <v>196</v>
      </c>
      <c r="H3" s="39" t="s">
        <v>1</v>
      </c>
      <c r="I3" s="39" t="s">
        <v>159</v>
      </c>
      <c r="J3" s="39" t="s">
        <v>481</v>
      </c>
      <c r="K3" s="3"/>
    </row>
    <row r="4" spans="1:11" s="1" customFormat="1" ht="67.5" customHeight="1" x14ac:dyDescent="0.2">
      <c r="A4" s="390" t="s">
        <v>163</v>
      </c>
      <c r="B4" s="183" t="str">
        <f>IF(ISBLANK('6c. Wall Types'!B9),"",'6c. Wall Types'!B9)</f>
        <v>Non-Residential</v>
      </c>
      <c r="C4" s="37">
        <v>1</v>
      </c>
      <c r="D4" s="183" t="str">
        <f>IF(ISBLANK('6c. Wall Types'!D9),"",'6c. Wall Types'!D9)</f>
        <v>Mass</v>
      </c>
      <c r="E4" s="183" t="str">
        <f>IF(ISBLANK('6c. Wall Types'!E9),"",'6c. Wall Types'!E9)</f>
        <v>U-0.104</v>
      </c>
      <c r="F4" s="136" t="s">
        <v>173</v>
      </c>
      <c r="G4" s="79" t="str">
        <f>IF(OR(F4="",B4 = ""),"",IF(F4="","",INDEX(GSG_List!$A$26:$D$27,(MATCH($F4,GSG_List!$A$26:$A$27,0)),(MATCH($B4,GSG_List!$A$26:$D$26,0)))))</f>
        <v>U-0.064</v>
      </c>
      <c r="H4" s="183" t="str">
        <f>IF(ISBLANK('6c. Wall Types'!F9),"",'6c. Wall Types'!F9)</f>
        <v/>
      </c>
      <c r="I4" s="183" t="str">
        <f>IF(ISBLANK('6c. Wall Types'!G9),"",'6c. Wall Types'!G9)</f>
        <v/>
      </c>
      <c r="J4" s="183" t="str">
        <f>IF(ISBLANK('6c. Wall Types'!H9),"",'6c. Wall Types'!H9)</f>
        <v/>
      </c>
      <c r="K4" s="3"/>
    </row>
    <row r="5" spans="1:11" s="1" customFormat="1" ht="67.5" customHeight="1" x14ac:dyDescent="0.2">
      <c r="A5" s="390"/>
      <c r="B5" s="183" t="str">
        <f>IF(ISBLANK('6c. Wall Types'!B10),"",'6c. Wall Types'!B10)</f>
        <v/>
      </c>
      <c r="C5" s="37">
        <v>2</v>
      </c>
      <c r="D5" s="183" t="str">
        <f>IF(ISBLANK('6c. Wall Types'!D10),"",'6c. Wall Types'!D10)</f>
        <v/>
      </c>
      <c r="E5" s="183" t="str">
        <f>IF(ISBLANK('6c. Wall Types'!E10),"",'6c. Wall Types'!E10)</f>
        <v/>
      </c>
      <c r="F5" s="136"/>
      <c r="G5" s="79" t="str">
        <f>IF(OR(F5="",B5 = ""),"",IF(F5="","",INDEX(GSG_List!$A$26:$D$27,(MATCH($F5,GSG_List!$A$26:$A$27,0)),(MATCH($B5,GSG_List!$A$26:$D$26,0)))))</f>
        <v/>
      </c>
      <c r="H5" s="183" t="str">
        <f>IF(ISBLANK('6c. Wall Types'!F10),"",'6c. Wall Types'!F10)</f>
        <v/>
      </c>
      <c r="I5" s="183" t="str">
        <f>IF(ISBLANK('6c. Wall Types'!G10),"",'6c. Wall Types'!G10)</f>
        <v/>
      </c>
      <c r="J5" s="183" t="str">
        <f>IF(ISBLANK('6c. Wall Types'!H10),"",'6c. Wall Types'!H10)</f>
        <v/>
      </c>
      <c r="K5" s="3"/>
    </row>
    <row r="6" spans="1:11" s="1" customFormat="1" ht="67.5" customHeight="1" x14ac:dyDescent="0.2">
      <c r="A6" s="390"/>
      <c r="B6" s="183" t="str">
        <f>IF(ISBLANK('6c. Wall Types'!B11),"",'6c. Wall Types'!B11)</f>
        <v/>
      </c>
      <c r="C6" s="37">
        <v>3</v>
      </c>
      <c r="D6" s="183" t="str">
        <f>IF(ISBLANK('6c. Wall Types'!D11),"",'6c. Wall Types'!D11)</f>
        <v/>
      </c>
      <c r="E6" s="183" t="str">
        <f>IF(ISBLANK('6c. Wall Types'!E11),"",'6c. Wall Types'!E11)</f>
        <v/>
      </c>
      <c r="F6" s="136"/>
      <c r="G6" s="79" t="str">
        <f>IF(OR(F6="",B6 = ""),"",IF(F6="","",INDEX(GSG_List!$A$26:$D$27,(MATCH($F6,GSG_List!$A$26:$A$27,0)),(MATCH($B6,GSG_List!$A$26:$D$26,0)))))</f>
        <v/>
      </c>
      <c r="H6" s="183" t="str">
        <f>IF(ISBLANK('6c. Wall Types'!F11),"",'6c. Wall Types'!F11)</f>
        <v/>
      </c>
      <c r="I6" s="183" t="str">
        <f>IF(ISBLANK('6c. Wall Types'!G11),"",'6c. Wall Types'!G11)</f>
        <v/>
      </c>
      <c r="J6" s="183" t="str">
        <f>IF(ISBLANK('6c. Wall Types'!H11),"",'6c. Wall Types'!H11)</f>
        <v/>
      </c>
      <c r="K6" s="3"/>
    </row>
    <row r="7" spans="1:11" s="1" customFormat="1" ht="67.5" customHeight="1" x14ac:dyDescent="0.2">
      <c r="A7" s="390"/>
      <c r="B7" s="183" t="str">
        <f>IF(ISBLANK('6c. Wall Types'!B12),"",'6c. Wall Types'!B12)</f>
        <v/>
      </c>
      <c r="C7" s="37">
        <v>4</v>
      </c>
      <c r="D7" s="183" t="str">
        <f>IF(ISBLANK('6c. Wall Types'!D12),"",'6c. Wall Types'!D12)</f>
        <v/>
      </c>
      <c r="E7" s="183" t="str">
        <f>IF(ISBLANK('6c. Wall Types'!E12),"",'6c. Wall Types'!E12)</f>
        <v/>
      </c>
      <c r="F7" s="136"/>
      <c r="G7" s="79" t="str">
        <f>IF(OR(F7="",B7 = ""),"",IF(F7="","",INDEX(GSG_List!$A$26:$D$27,(MATCH($F7,GSG_List!$A$26:$A$27,0)),(MATCH($B7,GSG_List!$A$26:$D$26,0)))))</f>
        <v/>
      </c>
      <c r="H7" s="183" t="str">
        <f>IF(ISBLANK('6c. Wall Types'!F12),"",'6c. Wall Types'!F12)</f>
        <v/>
      </c>
      <c r="I7" s="183" t="str">
        <f>IF(ISBLANK('6c. Wall Types'!G12),"",'6c. Wall Types'!G12)</f>
        <v/>
      </c>
      <c r="J7" s="183" t="str">
        <f>IF(ISBLANK('6c. Wall Types'!H12),"",'6c. Wall Types'!H12)</f>
        <v/>
      </c>
      <c r="K7" s="3"/>
    </row>
    <row r="8" spans="1:11" s="1" customFormat="1" ht="67.5" customHeight="1" x14ac:dyDescent="0.2">
      <c r="A8" s="390"/>
      <c r="B8" s="183" t="str">
        <f>IF(ISBLANK('6c. Wall Types'!B13),"",'6c. Wall Types'!B13)</f>
        <v/>
      </c>
      <c r="C8" s="37">
        <v>5</v>
      </c>
      <c r="D8" s="183" t="str">
        <f>IF(ISBLANK('6c. Wall Types'!D13),"",'6c. Wall Types'!D13)</f>
        <v/>
      </c>
      <c r="E8" s="183" t="str">
        <f>IF(ISBLANK('6c. Wall Types'!E13),"",'6c. Wall Types'!E13)</f>
        <v/>
      </c>
      <c r="F8" s="136"/>
      <c r="G8" s="79" t="str">
        <f>IF(OR(F8="",B8 = ""),"",IF(F8="","",INDEX(GSG_List!$A$26:$D$27,(MATCH($F8,GSG_List!$A$26:$A$27,0)),(MATCH($B8,GSG_List!$A$26:$D$26,0)))))</f>
        <v/>
      </c>
      <c r="H8" s="183" t="str">
        <f>IF(ISBLANK('6c. Wall Types'!F13),"",'6c. Wall Types'!F13)</f>
        <v/>
      </c>
      <c r="I8" s="183" t="str">
        <f>IF(ISBLANK('6c. Wall Types'!G13),"",'6c. Wall Types'!G13)</f>
        <v/>
      </c>
      <c r="J8" s="183" t="str">
        <f>IF(ISBLANK('6c. Wall Types'!H13),"",'6c. Wall Types'!H13)</f>
        <v/>
      </c>
      <c r="K8" s="3"/>
    </row>
    <row r="9" spans="1:11" s="1" customFormat="1" ht="67.5" customHeight="1" x14ac:dyDescent="0.2">
      <c r="A9" s="390"/>
      <c r="B9" s="183" t="str">
        <f>IF(ISBLANK('6c. Wall Types'!B14),"",'6c. Wall Types'!B14)</f>
        <v/>
      </c>
      <c r="C9" s="37">
        <v>6</v>
      </c>
      <c r="D9" s="183" t="str">
        <f>IF(ISBLANK('6c. Wall Types'!D14),"",'6c. Wall Types'!D14)</f>
        <v/>
      </c>
      <c r="E9" s="183" t="str">
        <f>IF(ISBLANK('6c. Wall Types'!E14),"",'6c. Wall Types'!E14)</f>
        <v/>
      </c>
      <c r="F9" s="136"/>
      <c r="G9" s="79" t="str">
        <f>IF(OR(F9="",B9 = ""),"",IF(F9="","",INDEX(GSG_List!$A$26:$D$27,(MATCH($F9,GSG_List!$A$26:$A$27,0)),(MATCH($B9,GSG_List!$A$26:$D$26,0)))))</f>
        <v/>
      </c>
      <c r="H9" s="183" t="str">
        <f>IF(ISBLANK('6c. Wall Types'!F14),"",'6c. Wall Types'!F14)</f>
        <v/>
      </c>
      <c r="I9" s="183" t="str">
        <f>IF(ISBLANK('6c. Wall Types'!G14),"",'6c. Wall Types'!G14)</f>
        <v/>
      </c>
      <c r="J9" s="183" t="str">
        <f>IF(ISBLANK('6c. Wall Types'!H14),"",'6c. Wall Types'!H14)</f>
        <v/>
      </c>
      <c r="K9" s="3"/>
    </row>
    <row r="10" spans="1:11" s="1" customFormat="1" ht="67.5" customHeight="1" x14ac:dyDescent="0.2">
      <c r="A10" s="390"/>
      <c r="B10" s="183" t="str">
        <f>IF(ISBLANK('6c. Wall Types'!B15),"",'6c. Wall Types'!B15)</f>
        <v/>
      </c>
      <c r="C10" s="37">
        <v>7</v>
      </c>
      <c r="D10" s="183" t="str">
        <f>IF(ISBLANK('6c. Wall Types'!D15),"",'6c. Wall Types'!D15)</f>
        <v/>
      </c>
      <c r="E10" s="183" t="str">
        <f>IF(ISBLANK('6c. Wall Types'!E15),"",'6c. Wall Types'!E15)</f>
        <v/>
      </c>
      <c r="F10" s="136"/>
      <c r="G10" s="79" t="str">
        <f>IF(OR(F10="",B10 = ""),"",IF(F10="","",INDEX(GSG_List!$A$26:$D$27,(MATCH($F10,GSG_List!$A$26:$A$27,0)),(MATCH($B10,GSG_List!$A$26:$D$26,0)))))</f>
        <v/>
      </c>
      <c r="H10" s="183" t="str">
        <f>IF(ISBLANK('6c. Wall Types'!F15),"",'6c. Wall Types'!F15)</f>
        <v/>
      </c>
      <c r="I10" s="183" t="str">
        <f>IF(ISBLANK('6c. Wall Types'!G15),"",'6c. Wall Types'!G15)</f>
        <v/>
      </c>
      <c r="J10" s="183" t="str">
        <f>IF(ISBLANK('6c. Wall Types'!H15),"",'6c. Wall Types'!H15)</f>
        <v/>
      </c>
      <c r="K10" s="3"/>
    </row>
    <row r="11" spans="1:11" s="1" customFormat="1" ht="67.5" customHeight="1" x14ac:dyDescent="0.2">
      <c r="A11" s="390"/>
      <c r="B11" s="183" t="str">
        <f>IF(ISBLANK('6c. Wall Types'!B16),"",'6c. Wall Types'!B16)</f>
        <v/>
      </c>
      <c r="C11" s="37">
        <v>8</v>
      </c>
      <c r="D11" s="183" t="str">
        <f>IF(ISBLANK('6c. Wall Types'!D16),"",'6c. Wall Types'!D16)</f>
        <v/>
      </c>
      <c r="E11" s="183" t="str">
        <f>IF(ISBLANK('6c. Wall Types'!E16),"",'6c. Wall Types'!E16)</f>
        <v/>
      </c>
      <c r="F11" s="136"/>
      <c r="G11" s="79" t="str">
        <f>IF(OR(F11="",B11 = ""),"",IF(F11="","",INDEX(GSG_List!$A$26:$D$27,(MATCH($F11,GSG_List!$A$26:$A$27,0)),(MATCH($B11,GSG_List!$A$26:$D$26,0)))))</f>
        <v/>
      </c>
      <c r="H11" s="183" t="str">
        <f>IF(ISBLANK('6c. Wall Types'!F16),"",'6c. Wall Types'!F16)</f>
        <v/>
      </c>
      <c r="I11" s="183" t="str">
        <f>IF(ISBLANK('6c. Wall Types'!G16),"",'6c. Wall Types'!G16)</f>
        <v/>
      </c>
      <c r="J11" s="183" t="str">
        <f>IF(ISBLANK('6c. Wall Types'!H16),"",'6c. Wall Types'!H16)</f>
        <v/>
      </c>
      <c r="K11" s="3"/>
    </row>
    <row r="12" spans="1:11" ht="15" customHeight="1" x14ac:dyDescent="0.25"/>
  </sheetData>
  <mergeCells count="6">
    <mergeCell ref="A4:A11"/>
    <mergeCell ref="B2:B3"/>
    <mergeCell ref="C2:C3"/>
    <mergeCell ref="D2:E2"/>
    <mergeCell ref="F2:G2"/>
    <mergeCell ref="H2:I2"/>
  </mergeCells>
  <conditionalFormatting sqref="M5">
    <cfRule type="expression" dxfId="136" priority="4">
      <formula>"""ERROR"""</formula>
    </cfRule>
  </conditionalFormatting>
  <conditionalFormatting sqref="G4:G11">
    <cfRule type="expression" dxfId="135" priority="2">
      <formula>"ERROR"</formula>
    </cfRule>
  </conditionalFormatting>
  <conditionalFormatting sqref="G6:G11">
    <cfRule type="expression" dxfId="134" priority="1">
      <formula>"ERROR"</formula>
    </cfRule>
  </conditionalFormatting>
  <pageMargins left="0.25" right="0.25" top="0.75" bottom="0.75" header="0.3" footer="0.3"/>
  <pageSetup scale="80" orientation="landscape"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5000000}">
          <x14:formula1>
            <xm:f>GSG_List!$A$27</xm:f>
          </x14:formula1>
          <xm:sqref>F4:F11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CACE-9290-4518-938D-9DA0C7000E5A}">
  <sheetPr>
    <tabColor theme="8"/>
  </sheetPr>
  <dimension ref="A3:K15"/>
  <sheetViews>
    <sheetView tabSelected="1" view="pageLayout" zoomScaleNormal="100" zoomScaleSheetLayoutView="100" workbookViewId="0">
      <selection activeCell="D5" sqref="A5:XFD12"/>
    </sheetView>
  </sheetViews>
  <sheetFormatPr defaultRowHeight="15" x14ac:dyDescent="0.25"/>
  <cols>
    <col min="1" max="1" width="11.85546875" customWidth="1"/>
    <col min="2" max="2" width="10.85546875" customWidth="1"/>
    <col min="3" max="3" width="3.85546875" customWidth="1"/>
    <col min="4" max="4" width="19.5703125" customWidth="1"/>
    <col min="5" max="5" width="11.140625" customWidth="1"/>
    <col min="6" max="6" width="19.5703125" customWidth="1"/>
    <col min="7" max="7" width="11.140625" customWidth="1"/>
    <col min="8" max="8" width="31.42578125" customWidth="1"/>
    <col min="9" max="9" width="13.5703125" customWidth="1"/>
    <col min="10" max="10" width="8.5703125" customWidth="1"/>
    <col min="11" max="11" width="5.7109375" customWidth="1"/>
    <col min="12" max="12" width="14.85546875" customWidth="1"/>
    <col min="13" max="13" width="15.140625" customWidth="1"/>
  </cols>
  <sheetData>
    <row r="3" spans="1:11" s="1" customFormat="1" ht="24.75" customHeight="1" x14ac:dyDescent="0.2">
      <c r="A3" s="103"/>
      <c r="B3" s="390" t="s">
        <v>168</v>
      </c>
      <c r="C3" s="401" t="s">
        <v>147</v>
      </c>
      <c r="D3" s="390" t="s">
        <v>914</v>
      </c>
      <c r="E3" s="390"/>
      <c r="F3" s="390" t="s">
        <v>766</v>
      </c>
      <c r="G3" s="390"/>
      <c r="H3" s="390" t="s">
        <v>24</v>
      </c>
      <c r="I3" s="390"/>
      <c r="J3" s="39"/>
      <c r="K3" s="3"/>
    </row>
    <row r="4" spans="1:11" s="1" customFormat="1" ht="33.75" x14ac:dyDescent="0.2">
      <c r="A4" s="102" t="s">
        <v>0</v>
      </c>
      <c r="B4" s="390"/>
      <c r="C4" s="401"/>
      <c r="D4" s="39" t="s">
        <v>1</v>
      </c>
      <c r="E4" s="39" t="s">
        <v>196</v>
      </c>
      <c r="F4" s="39" t="s">
        <v>1</v>
      </c>
      <c r="G4" s="39" t="s">
        <v>196</v>
      </c>
      <c r="H4" s="39" t="s">
        <v>1</v>
      </c>
      <c r="I4" s="39" t="s">
        <v>159</v>
      </c>
      <c r="J4" s="39" t="s">
        <v>481</v>
      </c>
      <c r="K4" s="3"/>
    </row>
    <row r="5" spans="1:11" s="1" customFormat="1" ht="60" customHeight="1" x14ac:dyDescent="0.2">
      <c r="A5" s="399" t="s">
        <v>160</v>
      </c>
      <c r="B5" s="400" t="str">
        <f>IF(ISBLANK('6c. Wall Types'!B5),"",'6c. Wall Types'!B5)</f>
        <v>Non-Residential</v>
      </c>
      <c r="C5" s="399">
        <v>1</v>
      </c>
      <c r="D5" s="183" t="str">
        <f>IF(ISBLANK('6c. Wall Types'!D5),"",'6c. Wall Types'!D5)</f>
        <v>Insulation Entirely Above Deck</v>
      </c>
      <c r="E5" s="183" t="str">
        <f>IF(ISBLANK('6c. Wall Types'!E5),"",'6c. Wall Types'!E5)</f>
        <v>U-0.032</v>
      </c>
      <c r="F5" s="136" t="s">
        <v>169</v>
      </c>
      <c r="G5" s="79" t="str">
        <f>IF(F5="","",IF(F5="","",INDEX(GSG_List!$A$24:$D$25,(MATCH($F5,GSG_List!$A$24:$A$25,0)),(MATCH($B5,GSG_List!$A$24:$D$24,0)))))</f>
        <v>U-0.048</v>
      </c>
      <c r="H5" s="183" t="str">
        <f>IF(ISBLANK('6c. Wall Types'!F5),"",'6c. Wall Types'!F5)</f>
        <v/>
      </c>
      <c r="I5" s="183" t="str">
        <f>IF(ISBLANK('6c. Wall Types'!G5),"",'6c. Wall Types'!G5)</f>
        <v/>
      </c>
      <c r="J5" s="183" t="str">
        <f>IF(ISBLANK('6c. Wall Types'!H5),"",'6c. Wall Types'!H5)</f>
        <v/>
      </c>
      <c r="K5" s="3"/>
    </row>
    <row r="6" spans="1:11" s="1" customFormat="1" ht="60" customHeight="1" x14ac:dyDescent="0.2">
      <c r="A6" s="399"/>
      <c r="B6" s="400"/>
      <c r="C6" s="399"/>
      <c r="D6" s="37" t="s">
        <v>161</v>
      </c>
      <c r="E6" s="184" t="str">
        <f>IF(ISBLANK('6c. Wall Types'!E6),"",'6c. Wall Types'!E6)</f>
        <v>SR =</v>
      </c>
      <c r="F6" s="37" t="s">
        <v>161</v>
      </c>
      <c r="G6" s="134" t="s">
        <v>162</v>
      </c>
      <c r="H6" s="37" t="s">
        <v>161</v>
      </c>
      <c r="I6" s="183" t="str">
        <f>IF(ISBLANK('6c. Wall Types'!G6),"",'6c. Wall Types'!G6)</f>
        <v/>
      </c>
      <c r="J6" s="183" t="str">
        <f>IF(ISBLANK('6c. Wall Types'!H6),"",'6c. Wall Types'!H6)</f>
        <v/>
      </c>
      <c r="K6" s="3"/>
    </row>
    <row r="7" spans="1:11" s="1" customFormat="1" ht="60" customHeight="1" x14ac:dyDescent="0.2">
      <c r="A7" s="399"/>
      <c r="B7" s="400" t="str">
        <f>IF(ISBLANK('6c. Wall Types'!B7),"",'6c. Wall Types'!B7)</f>
        <v/>
      </c>
      <c r="C7" s="399">
        <v>2</v>
      </c>
      <c r="D7" s="183" t="str">
        <f>IF(ISBLANK('6c. Wall Types'!D7),"",'6c. Wall Types'!D7)</f>
        <v/>
      </c>
      <c r="E7" s="183" t="str">
        <f>IF(ISBLANK('6c. Wall Types'!E7),"",'6c. Wall Types'!E7)</f>
        <v/>
      </c>
      <c r="F7" s="136"/>
      <c r="G7" s="79" t="str">
        <f>IF(F7="","",IF(F7="","",INDEX(GSG_List!$A$24:$D$25,(MATCH($F7,GSG_List!$A$24:$A$25,0)),(MATCH($B7,GSG_List!$A$24:$D$24,0)))))</f>
        <v/>
      </c>
      <c r="H7" s="183" t="str">
        <f>IF(ISBLANK('6c. Wall Types'!F7),"",'6c. Wall Types'!F7)</f>
        <v/>
      </c>
      <c r="I7" s="183" t="str">
        <f>IF(ISBLANK('6c. Wall Types'!G7),"",'6c. Wall Types'!G7)</f>
        <v/>
      </c>
      <c r="J7" s="183" t="str">
        <f>IF(ISBLANK('6c. Wall Types'!H7),"",'6c. Wall Types'!H7)</f>
        <v/>
      </c>
      <c r="K7" s="3"/>
    </row>
    <row r="8" spans="1:11" s="1" customFormat="1" ht="60" customHeight="1" x14ac:dyDescent="0.2">
      <c r="A8" s="399"/>
      <c r="B8" s="400"/>
      <c r="C8" s="399"/>
      <c r="D8" s="37" t="s">
        <v>161</v>
      </c>
      <c r="E8" s="184" t="str">
        <f>IF(ISBLANK('6c. Wall Types'!E8),"",'6c. Wall Types'!E8)</f>
        <v>SR =</v>
      </c>
      <c r="F8" s="37" t="s">
        <v>161</v>
      </c>
      <c r="G8" s="12" t="s">
        <v>162</v>
      </c>
      <c r="H8" s="37" t="s">
        <v>161</v>
      </c>
      <c r="I8" s="183" t="str">
        <f>IF(ISBLANK('6c. Wall Types'!G8),"",'6c. Wall Types'!G8)</f>
        <v/>
      </c>
      <c r="J8" s="183" t="str">
        <f>IF(ISBLANK('6c. Wall Types'!H8),"",'6c. Wall Types'!H8)</f>
        <v/>
      </c>
      <c r="K8" s="3"/>
    </row>
    <row r="9" spans="1:11" s="1" customFormat="1" ht="60" customHeight="1" x14ac:dyDescent="0.2">
      <c r="A9" s="399" t="s">
        <v>164</v>
      </c>
      <c r="B9" s="183" t="str">
        <f>IF(ISBLANK('6c. Wall Types'!B17),"",'6c. Wall Types'!B17)</f>
        <v>Non-Residential</v>
      </c>
      <c r="C9" s="37">
        <v>1</v>
      </c>
      <c r="D9" s="183" t="str">
        <f>IF(ISBLANK('6c. Wall Types'!D17),"",'6c. Wall Types'!D17)</f>
        <v>Below-Grade Wall</v>
      </c>
      <c r="E9" s="183" t="str">
        <f>IF(ISBLANK('6c. Wall Types'!E17),"",'6c. Wall Types'!E17)</f>
        <v>C-0.119</v>
      </c>
      <c r="F9" s="136" t="s">
        <v>175</v>
      </c>
      <c r="G9" s="79" t="str">
        <f>IF(F9="","",IF(F9="","",INDEX(GSG_List!$A$28:$D$29,(MATCH($F9,GSG_List!$A$28:$A$29,0)),(MATCH($B9,GSG_List!$A$28:$D$28,0)))))</f>
        <v>C-1.140</v>
      </c>
      <c r="H9" s="183" t="str">
        <f>IF(ISBLANK('6c. Wall Types'!F17),"",'6c. Wall Types'!F17)</f>
        <v/>
      </c>
      <c r="I9" s="183" t="str">
        <f>IF(ISBLANK('6c. Wall Types'!G17),"",'6c. Wall Types'!G17)</f>
        <v/>
      </c>
      <c r="J9" s="183" t="str">
        <f>IF(ISBLANK('6c. Wall Types'!H17),"",'6c. Wall Types'!H17)</f>
        <v/>
      </c>
      <c r="K9" s="3"/>
    </row>
    <row r="10" spans="1:11" s="1" customFormat="1" ht="60" customHeight="1" x14ac:dyDescent="0.2">
      <c r="A10" s="399"/>
      <c r="B10" s="183" t="str">
        <f>IF(ISBLANK('6c. Wall Types'!B18),"",'6c. Wall Types'!B18)</f>
        <v/>
      </c>
      <c r="C10" s="37">
        <v>2</v>
      </c>
      <c r="D10" s="183" t="str">
        <f>IF(ISBLANK('6c. Wall Types'!D18),"",'6c. Wall Types'!D18)</f>
        <v/>
      </c>
      <c r="E10" s="183" t="str">
        <f>IF(ISBLANK('6c. Wall Types'!E18),"",'6c. Wall Types'!E18)</f>
        <v/>
      </c>
      <c r="F10" s="136"/>
      <c r="G10" s="79" t="str">
        <f>IF(F10="","",IF(F10="","",INDEX(GSG_List!$A$28:$D$29,(MATCH($F10,GSG_List!$A$28:$A$29,0)),(MATCH($B10,GSG_List!$A$28:$D$28,0)))))</f>
        <v/>
      </c>
      <c r="H10" s="183" t="str">
        <f>IF(ISBLANK('6c. Wall Types'!F18),"",'6c. Wall Types'!F18)</f>
        <v/>
      </c>
      <c r="I10" s="183" t="str">
        <f>IF(ISBLANK('6c. Wall Types'!G18),"",'6c. Wall Types'!G18)</f>
        <v/>
      </c>
      <c r="J10" s="183" t="str">
        <f>IF(ISBLANK('6c. Wall Types'!H18),"",'6c. Wall Types'!H18)</f>
        <v/>
      </c>
      <c r="K10" s="3"/>
    </row>
    <row r="11" spans="1:11" s="1" customFormat="1" ht="60" customHeight="1" x14ac:dyDescent="0.2">
      <c r="A11" s="37" t="s">
        <v>165</v>
      </c>
      <c r="B11" s="183" t="str">
        <f>IF(ISBLANK('6c. Wall Types'!B19),"",'6c. Wall Types'!B19)</f>
        <v/>
      </c>
      <c r="C11" s="37">
        <v>1</v>
      </c>
      <c r="D11" s="183" t="str">
        <f>IF(ISBLANK('6c. Wall Types'!D19),"",'6c. Wall Types'!D19)</f>
        <v/>
      </c>
      <c r="E11" s="183" t="str">
        <f>IF(ISBLANK('6c. Wall Types'!E19),"",'6c. Wall Types'!E19)</f>
        <v/>
      </c>
      <c r="F11" s="136"/>
      <c r="G11" s="79" t="str">
        <f>IF(F11="","",IF(F11="","",INDEX(GSG_List!$A$30:$D$33,(MATCH($F11,GSG_List!$A$30:$A$33,0)),(MATCH($B11,GSG_List!$A$30:$D$30,0)))))</f>
        <v/>
      </c>
      <c r="H11" s="183" t="str">
        <f>IF(ISBLANK('6c. Wall Types'!F19),"",'6c. Wall Types'!F19)</f>
        <v/>
      </c>
      <c r="I11" s="183" t="str">
        <f>IF(ISBLANK('6c. Wall Types'!G19),"",'6c. Wall Types'!G19)</f>
        <v/>
      </c>
      <c r="J11" s="183" t="str">
        <f>IF(ISBLANK('6c. Wall Types'!H19),"",'6c. Wall Types'!H19)</f>
        <v/>
      </c>
      <c r="K11" s="3"/>
    </row>
    <row r="12" spans="1:11" s="1" customFormat="1" ht="60" customHeight="1" x14ac:dyDescent="0.2">
      <c r="A12" s="37" t="s">
        <v>166</v>
      </c>
      <c r="B12" s="183" t="str">
        <f>IF(ISBLANK('6c. Wall Types'!B20),"",'6c. Wall Types'!B20)</f>
        <v/>
      </c>
      <c r="C12" s="37">
        <v>1</v>
      </c>
      <c r="D12" s="183" t="str">
        <f>IF(ISBLANK('6c. Wall Types'!D20),"",'6c. Wall Types'!D20)</f>
        <v/>
      </c>
      <c r="E12" s="183" t="str">
        <f>IF(ISBLANK('6c. Wall Types'!E20),"",'6c. Wall Types'!E20)</f>
        <v/>
      </c>
      <c r="F12" s="136"/>
      <c r="G12" s="79" t="str">
        <f>IF(F12="","",IF(F12="","",INDEX(GSG_List!$A$34:$D$36,(MATCH($F12,GSG_List!$A$34:$A$36,0)),(MATCH($B12,GSG_List!$A$34:$D$34,0)))))</f>
        <v/>
      </c>
      <c r="H12" s="183" t="str">
        <f>IF(ISBLANK('6c. Wall Types'!F20),"",'6c. Wall Types'!F20)</f>
        <v/>
      </c>
      <c r="I12" s="183" t="str">
        <f>IF(ISBLANK('6c. Wall Types'!G20),"",'6c. Wall Types'!G20)</f>
        <v/>
      </c>
      <c r="J12" s="183" t="str">
        <f>IF(ISBLANK('6c. Wall Types'!H20),"",'6c. Wall Types'!H20)</f>
        <v/>
      </c>
      <c r="K12" s="4"/>
    </row>
    <row r="13" spans="1:11" s="1" customFormat="1" ht="20.100000000000001" customHeight="1" x14ac:dyDescent="0.2">
      <c r="A13" s="390" t="s">
        <v>167</v>
      </c>
      <c r="B13" s="183" t="str">
        <f>IF(ISBLANK('6c. Wall Types'!B21),"",'6c. Wall Types'!B21)</f>
        <v>Non-Residential</v>
      </c>
      <c r="C13" s="37">
        <v>1</v>
      </c>
      <c r="D13" s="183" t="str">
        <f>IF(ISBLANK('6c. Wall Types'!D21),"",'6c. Wall Types'!D21)</f>
        <v>Swinging</v>
      </c>
      <c r="E13" s="183" t="str">
        <f>IF(ISBLANK('6c. Wall Types'!E21),"",'6c. Wall Types'!E21)</f>
        <v>U-0.500</v>
      </c>
      <c r="F13" s="136"/>
      <c r="G13" s="79" t="str">
        <f>IF(F13="","",IF(F13="","",INDEX(GSG_List!$A$37:$D$39,(MATCH($F13,GSG_List!$A$37:$A$39,0)),(MATCH($B13,GSG_List!$A$37:$D$37,0)))))</f>
        <v/>
      </c>
      <c r="H13" s="183" t="str">
        <f>IF(ISBLANK('6c. Wall Types'!F21),"",'6c. Wall Types'!F21)</f>
        <v/>
      </c>
      <c r="I13" s="183" t="str">
        <f>IF(ISBLANK('6c. Wall Types'!G21),"",'6c. Wall Types'!G21)</f>
        <v/>
      </c>
      <c r="J13" s="183" t="str">
        <f>IF(ISBLANK('6c. Wall Types'!H21),"",'6c. Wall Types'!H21)</f>
        <v/>
      </c>
      <c r="K13" s="3"/>
    </row>
    <row r="14" spans="1:11" s="1" customFormat="1" ht="20.100000000000001" customHeight="1" x14ac:dyDescent="0.2">
      <c r="A14" s="390"/>
      <c r="B14" s="183" t="str">
        <f>IF(ISBLANK('6c. Wall Types'!B22),"",'6c. Wall Types'!B22)</f>
        <v/>
      </c>
      <c r="C14" s="37">
        <v>2</v>
      </c>
      <c r="D14" s="183" t="str">
        <f>IF(ISBLANK('6c. Wall Types'!D22),"",'6c. Wall Types'!D22)</f>
        <v/>
      </c>
      <c r="E14" s="183" t="str">
        <f>IF(ISBLANK('6c. Wall Types'!E22),"",'6c. Wall Types'!E22)</f>
        <v/>
      </c>
      <c r="F14" s="136"/>
      <c r="G14" s="79" t="str">
        <f>IF(F14="","",IF(F14="","",INDEX(GSG_List!$A$37:$D$39,(MATCH($F14,GSG_List!$A$37:$A$39,0)),(MATCH($B14,GSG_List!$A$37:$D$37,0)))))</f>
        <v/>
      </c>
      <c r="H14" s="183" t="str">
        <f>IF(ISBLANK('6c. Wall Types'!F22),"",'6c. Wall Types'!F22)</f>
        <v/>
      </c>
      <c r="I14" s="183" t="str">
        <f>IF(ISBLANK('6c. Wall Types'!G22),"",'6c. Wall Types'!G22)</f>
        <v/>
      </c>
      <c r="J14" s="183" t="str">
        <f>IF(ISBLANK('6c. Wall Types'!H22),"",'6c. Wall Types'!H22)</f>
        <v/>
      </c>
      <c r="K14" s="3"/>
    </row>
    <row r="15" spans="1:11" ht="15" customHeight="1" x14ac:dyDescent="0.25"/>
  </sheetData>
  <mergeCells count="12">
    <mergeCell ref="A9:A10"/>
    <mergeCell ref="A13:A14"/>
    <mergeCell ref="B3:B4"/>
    <mergeCell ref="C3:C4"/>
    <mergeCell ref="D3:E3"/>
    <mergeCell ref="F3:G3"/>
    <mergeCell ref="H3:I3"/>
    <mergeCell ref="A5:A8"/>
    <mergeCell ref="B5:B6"/>
    <mergeCell ref="C5:C6"/>
    <mergeCell ref="B7:B8"/>
    <mergeCell ref="C7:C8"/>
  </mergeCells>
  <conditionalFormatting sqref="G9:G14">
    <cfRule type="expression" dxfId="133" priority="2">
      <formula>"ERROR"</formula>
    </cfRule>
  </conditionalFormatting>
  <dataValidations count="4">
    <dataValidation type="list" allowBlank="1" showInputMessage="1" showErrorMessage="1" sqref="F7" xr:uid="{0E8A77F5-5783-45DE-A519-4D8A5D076B3B}">
      <formula1>GSG_Roof_Type</formula1>
    </dataValidation>
    <dataValidation type="list" allowBlank="1" showInputMessage="1" showErrorMessage="1" sqref="F11" xr:uid="{940E8C94-6463-4053-9099-6D3A2BABF4CF}">
      <formula1>GSG_Floor</formula1>
    </dataValidation>
    <dataValidation type="list" allowBlank="1" showInputMessage="1" showErrorMessage="1" sqref="F12" xr:uid="{9FBBE00F-4975-4E77-8232-5C796ED5360D}">
      <formula1>GSG_Slab</formula1>
    </dataValidation>
    <dataValidation type="list" allowBlank="1" showInputMessage="1" showErrorMessage="1" sqref="F13:F14" xr:uid="{27AB9BB9-6D6F-4C97-A50E-5AA05896BDD3}">
      <formula1>GSG_Doors</formula1>
    </dataValidation>
  </dataValidations>
  <pageMargins left="0.25" right="0.25" top="0.75" bottom="0.75" header="0.3" footer="0.3"/>
  <pageSetup scale="80" orientation="landscape"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7401866-0353-4795-898A-0AE22093EFB0}">
          <x14:formula1>
            <xm:f>GSG_List!$A$29</xm:f>
          </x14:formula1>
          <xm:sqref>F9:F10</xm:sqref>
        </x14:dataValidation>
        <x14:dataValidation type="list" allowBlank="1" showInputMessage="1" showErrorMessage="1" xr:uid="{F17304F6-9F38-4552-9548-F61B42CE0FC1}">
          <x14:formula1>
            <xm:f>GSG_List!$A$25</xm:f>
          </x14:formula1>
          <xm:sqref>F5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tabColor theme="8"/>
  </sheetPr>
  <dimension ref="A2:K36"/>
  <sheetViews>
    <sheetView view="pageLayout" zoomScaleNormal="130" zoomScaleSheetLayoutView="115" workbookViewId="0">
      <selection activeCell="C2" sqref="C2:E2"/>
    </sheetView>
  </sheetViews>
  <sheetFormatPr defaultRowHeight="15" x14ac:dyDescent="0.25"/>
  <cols>
    <col min="1" max="1" width="26.7109375" style="10" customWidth="1"/>
    <col min="2" max="2" width="14.140625" style="10" customWidth="1"/>
    <col min="3" max="4" width="6.42578125" style="10" customWidth="1"/>
    <col min="5" max="8" width="7" style="11" customWidth="1"/>
    <col min="9" max="10" width="6.42578125" style="10" customWidth="1"/>
    <col min="11" max="11" width="7" style="10" customWidth="1"/>
  </cols>
  <sheetData>
    <row r="2" spans="1:11" ht="56.25" customHeight="1" x14ac:dyDescent="0.25">
      <c r="A2" s="390" t="s">
        <v>197</v>
      </c>
      <c r="B2" s="390" t="s">
        <v>271</v>
      </c>
      <c r="C2" s="390" t="s">
        <v>914</v>
      </c>
      <c r="D2" s="390"/>
      <c r="E2" s="390"/>
      <c r="F2" s="402" t="s">
        <v>766</v>
      </c>
      <c r="G2" s="403"/>
      <c r="H2" s="404"/>
      <c r="I2" s="402" t="s">
        <v>24</v>
      </c>
      <c r="J2" s="403"/>
      <c r="K2" s="404"/>
    </row>
    <row r="3" spans="1:11" ht="22.5" x14ac:dyDescent="0.25">
      <c r="A3" s="390"/>
      <c r="B3" s="390"/>
      <c r="C3" s="390" t="s">
        <v>198</v>
      </c>
      <c r="D3" s="390" t="s">
        <v>199</v>
      </c>
      <c r="E3" s="43" t="s">
        <v>200</v>
      </c>
      <c r="F3" s="390" t="s">
        <v>198</v>
      </c>
      <c r="G3" s="390" t="s">
        <v>199</v>
      </c>
      <c r="H3" s="43" t="s">
        <v>200</v>
      </c>
      <c r="I3" s="390" t="s">
        <v>198</v>
      </c>
      <c r="J3" s="390" t="s">
        <v>199</v>
      </c>
      <c r="K3" s="44" t="s">
        <v>200</v>
      </c>
    </row>
    <row r="4" spans="1:11" ht="22.5" customHeight="1" x14ac:dyDescent="0.25">
      <c r="A4" s="390"/>
      <c r="B4" s="390"/>
      <c r="C4" s="390"/>
      <c r="D4" s="390"/>
      <c r="E4" s="45" t="s">
        <v>201</v>
      </c>
      <c r="F4" s="390"/>
      <c r="G4" s="390"/>
      <c r="H4" s="45" t="s">
        <v>201</v>
      </c>
      <c r="I4" s="390"/>
      <c r="J4" s="390"/>
      <c r="K4" s="46" t="s">
        <v>201</v>
      </c>
    </row>
    <row r="5" spans="1:11" x14ac:dyDescent="0.25">
      <c r="A5" s="134" t="str">
        <f>IF('6d. Interior LPD-Space Method'!A5="","",'6d. Interior LPD-Space Method'!A5)</f>
        <v/>
      </c>
      <c r="B5" s="178" t="str">
        <f>IF('6d. Interior LPD-Space Method'!B5="","",'6d. Interior LPD-Space Method'!B5)</f>
        <v/>
      </c>
      <c r="C5" s="179" t="str">
        <f>IF('6d. Interior LPD-Space Method'!C5="","",'6d. Interior LPD-Space Method'!C5)</f>
        <v>Yes</v>
      </c>
      <c r="D5" s="179" t="str">
        <f>IF('6d. Interior LPD-Space Method'!D5="","",'6d. Interior LPD-Space Method'!D5)</f>
        <v>Yes</v>
      </c>
      <c r="E5" s="180" t="str">
        <f>IF('6d. Interior LPD-Space Method'!E5="","",'6d. Interior LPD-Space Method'!E5)</f>
        <v/>
      </c>
      <c r="F5" s="136"/>
      <c r="G5" s="136"/>
      <c r="H5" s="80" t="str">
        <f>IF($A5="","",IF($B5="","",VLOOKUP($A5,'GSG LPD'!$A$2:$B$106,2)))</f>
        <v/>
      </c>
      <c r="I5" s="179" t="str">
        <f>IF('6d. Interior LPD-Space Method'!F5="","",'6d. Interior LPD-Space Method'!F5)</f>
        <v>Yes</v>
      </c>
      <c r="J5" s="179" t="str">
        <f>IF('6d. Interior LPD-Space Method'!G5="","",'6d. Interior LPD-Space Method'!G5)</f>
        <v>Yes</v>
      </c>
      <c r="K5" s="181" t="str">
        <f>IF('6d. Interior LPD-Space Method'!H5="","",'6d. Interior LPD-Space Method'!H5)</f>
        <v/>
      </c>
    </row>
    <row r="6" spans="1:11" x14ac:dyDescent="0.25">
      <c r="A6" s="134" t="str">
        <f>IF('6d. Interior LPD-Space Method'!A6="","",'6d. Interior LPD-Space Method'!A6)</f>
        <v/>
      </c>
      <c r="B6" s="178" t="str">
        <f>IF('6d. Interior LPD-Space Method'!B6="","",'6d. Interior LPD-Space Method'!B6)</f>
        <v/>
      </c>
      <c r="C6" s="179" t="str">
        <f>IF('6d. Interior LPD-Space Method'!C6="","",'6d. Interior LPD-Space Method'!C6)</f>
        <v>Yes</v>
      </c>
      <c r="D6" s="179" t="str">
        <f>IF('6d. Interior LPD-Space Method'!D6="","",'6d. Interior LPD-Space Method'!D6)</f>
        <v>Yes</v>
      </c>
      <c r="E6" s="180" t="str">
        <f>IF('6d. Interior LPD-Space Method'!E6="","",'6d. Interior LPD-Space Method'!E6)</f>
        <v/>
      </c>
      <c r="F6" s="136"/>
      <c r="G6" s="136"/>
      <c r="H6" s="80" t="str">
        <f>IF($A6="","",IF($B6="","",VLOOKUP($A6,'GSG LPD'!$A$2:$B$106,2)))</f>
        <v/>
      </c>
      <c r="I6" s="179" t="str">
        <f>IF('6d. Interior LPD-Space Method'!F6="","",'6d. Interior LPD-Space Method'!F6)</f>
        <v>Yes</v>
      </c>
      <c r="J6" s="179" t="str">
        <f>IF('6d. Interior LPD-Space Method'!G6="","",'6d. Interior LPD-Space Method'!G6)</f>
        <v>Yes</v>
      </c>
      <c r="K6" s="181" t="str">
        <f>IF('6d. Interior LPD-Space Method'!H6="","",'6d. Interior LPD-Space Method'!H6)</f>
        <v/>
      </c>
    </row>
    <row r="7" spans="1:11" x14ac:dyDescent="0.25">
      <c r="A7" s="134" t="str">
        <f>IF('6d. Interior LPD-Space Method'!A7="","",'6d. Interior LPD-Space Method'!A7)</f>
        <v/>
      </c>
      <c r="B7" s="178" t="str">
        <f>IF('6d. Interior LPD-Space Method'!B7="","",'6d. Interior LPD-Space Method'!B7)</f>
        <v/>
      </c>
      <c r="C7" s="179" t="str">
        <f>IF('6d. Interior LPD-Space Method'!C7="","",'6d. Interior LPD-Space Method'!C7)</f>
        <v>Yes</v>
      </c>
      <c r="D7" s="179" t="str">
        <f>IF('6d. Interior LPD-Space Method'!D7="","",'6d. Interior LPD-Space Method'!D7)</f>
        <v>Yes</v>
      </c>
      <c r="E7" s="180" t="str">
        <f>IF('6d. Interior LPD-Space Method'!E7="","",'6d. Interior LPD-Space Method'!E7)</f>
        <v/>
      </c>
      <c r="F7" s="136"/>
      <c r="G7" s="136"/>
      <c r="H7" s="80" t="str">
        <f>IF($A7="","",IF($B7="","",VLOOKUP($A7,'GSG LPD'!$A$2:$B$106,2)))</f>
        <v/>
      </c>
      <c r="I7" s="179" t="str">
        <f>IF('6d. Interior LPD-Space Method'!F7="","",'6d. Interior LPD-Space Method'!F7)</f>
        <v>Yes</v>
      </c>
      <c r="J7" s="179" t="str">
        <f>IF('6d. Interior LPD-Space Method'!G7="","",'6d. Interior LPD-Space Method'!G7)</f>
        <v>Yes</v>
      </c>
      <c r="K7" s="181" t="str">
        <f>IF('6d. Interior LPD-Space Method'!H7="","",'6d. Interior LPD-Space Method'!H7)</f>
        <v/>
      </c>
    </row>
    <row r="8" spans="1:11" x14ac:dyDescent="0.25">
      <c r="A8" s="134" t="str">
        <f>IF('6d. Interior LPD-Space Method'!A8="","",'6d. Interior LPD-Space Method'!A8)</f>
        <v/>
      </c>
      <c r="B8" s="178" t="str">
        <f>IF('6d. Interior LPD-Space Method'!B8="","",'6d. Interior LPD-Space Method'!B8)</f>
        <v/>
      </c>
      <c r="C8" s="179" t="str">
        <f>IF('6d. Interior LPD-Space Method'!C8="","",'6d. Interior LPD-Space Method'!C8)</f>
        <v>Yes</v>
      </c>
      <c r="D8" s="179" t="str">
        <f>IF('6d. Interior LPD-Space Method'!D8="","",'6d. Interior LPD-Space Method'!D8)</f>
        <v>No</v>
      </c>
      <c r="E8" s="180" t="str">
        <f>IF('6d. Interior LPD-Space Method'!E8="","",'6d. Interior LPD-Space Method'!E8)</f>
        <v/>
      </c>
      <c r="F8" s="136"/>
      <c r="G8" s="136"/>
      <c r="H8" s="80" t="str">
        <f>IF($A8="","",IF($B8="","",VLOOKUP($A8,'GSG LPD'!$A$2:$B$106,2)))</f>
        <v/>
      </c>
      <c r="I8" s="179" t="str">
        <f>IF('6d. Interior LPD-Space Method'!F8="","",'6d. Interior LPD-Space Method'!F8)</f>
        <v>Yes</v>
      </c>
      <c r="J8" s="179" t="str">
        <f>IF('6d. Interior LPD-Space Method'!G8="","",'6d. Interior LPD-Space Method'!G8)</f>
        <v>No</v>
      </c>
      <c r="K8" s="181" t="str">
        <f>IF('6d. Interior LPD-Space Method'!H8="","",'6d. Interior LPD-Space Method'!H8)</f>
        <v/>
      </c>
    </row>
    <row r="9" spans="1:11" x14ac:dyDescent="0.25">
      <c r="A9" s="134" t="str">
        <f>IF('6d. Interior LPD-Space Method'!A9="","",'6d. Interior LPD-Space Method'!A9)</f>
        <v/>
      </c>
      <c r="B9" s="178" t="str">
        <f>IF('6d. Interior LPD-Space Method'!B9="","",'6d. Interior LPD-Space Method'!B9)</f>
        <v/>
      </c>
      <c r="C9" s="179" t="str">
        <f>IF('6d. Interior LPD-Space Method'!C9="","",'6d. Interior LPD-Space Method'!C9)</f>
        <v>Yes</v>
      </c>
      <c r="D9" s="179" t="str">
        <f>IF('6d. Interior LPD-Space Method'!D9="","",'6d. Interior LPD-Space Method'!D9)</f>
        <v>No</v>
      </c>
      <c r="E9" s="180" t="str">
        <f>IF('6d. Interior LPD-Space Method'!E9="","",'6d. Interior LPD-Space Method'!E9)</f>
        <v/>
      </c>
      <c r="F9" s="136"/>
      <c r="G9" s="136"/>
      <c r="H9" s="80" t="str">
        <f>IF($A9="","",IF($B9="","",VLOOKUP($A9,'GSG LPD'!$A$2:$B$106,2)))</f>
        <v/>
      </c>
      <c r="I9" s="179" t="str">
        <f>IF('6d. Interior LPD-Space Method'!F9="","",'6d. Interior LPD-Space Method'!F9)</f>
        <v>No</v>
      </c>
      <c r="J9" s="179" t="str">
        <f>IF('6d. Interior LPD-Space Method'!G9="","",'6d. Interior LPD-Space Method'!G9)</f>
        <v>No</v>
      </c>
      <c r="K9" s="181" t="str">
        <f>IF('6d. Interior LPD-Space Method'!H9="","",'6d. Interior LPD-Space Method'!H9)</f>
        <v/>
      </c>
    </row>
    <row r="10" spans="1:11" x14ac:dyDescent="0.25">
      <c r="A10" s="134" t="str">
        <f>IF('6d. Interior LPD-Space Method'!A10="","",'6d. Interior LPD-Space Method'!A10)</f>
        <v/>
      </c>
      <c r="B10" s="178" t="str">
        <f>IF('6d. Interior LPD-Space Method'!B10="","",'6d. Interior LPD-Space Method'!B10)</f>
        <v/>
      </c>
      <c r="C10" s="179" t="str">
        <f>IF('6d. Interior LPD-Space Method'!C10="","",'6d. Interior LPD-Space Method'!C10)</f>
        <v>Yes</v>
      </c>
      <c r="D10" s="179" t="str">
        <f>IF('6d. Interior LPD-Space Method'!D10="","",'6d. Interior LPD-Space Method'!D10)</f>
        <v>No</v>
      </c>
      <c r="E10" s="180" t="str">
        <f>IF('6d. Interior LPD-Space Method'!E10="","",'6d. Interior LPD-Space Method'!E10)</f>
        <v/>
      </c>
      <c r="F10" s="136"/>
      <c r="G10" s="136"/>
      <c r="H10" s="80" t="str">
        <f>IF($A10="","",IF($B10="","",VLOOKUP($A10,'GSG LPD'!$A$2:$B$106,2)))</f>
        <v/>
      </c>
      <c r="I10" s="179" t="str">
        <f>IF('6d. Interior LPD-Space Method'!F10="","",'6d. Interior LPD-Space Method'!F10)</f>
        <v>No</v>
      </c>
      <c r="J10" s="179" t="str">
        <f>IF('6d. Interior LPD-Space Method'!G10="","",'6d. Interior LPD-Space Method'!G10)</f>
        <v>No</v>
      </c>
      <c r="K10" s="181" t="str">
        <f>IF('6d. Interior LPD-Space Method'!H10="","",'6d. Interior LPD-Space Method'!H10)</f>
        <v/>
      </c>
    </row>
    <row r="11" spans="1:11" x14ac:dyDescent="0.25">
      <c r="A11" s="134" t="str">
        <f>IF('6d. Interior LPD-Space Method'!A11="","",'6d. Interior LPD-Space Method'!A11)</f>
        <v/>
      </c>
      <c r="B11" s="178" t="str">
        <f>IF('6d. Interior LPD-Space Method'!B11="","",'6d. Interior LPD-Space Method'!B11)</f>
        <v/>
      </c>
      <c r="C11" s="179" t="str">
        <f>IF('6d. Interior LPD-Space Method'!C11="","",'6d. Interior LPD-Space Method'!C11)</f>
        <v>Yes</v>
      </c>
      <c r="D11" s="179" t="str">
        <f>IF('6d. Interior LPD-Space Method'!D11="","",'6d. Interior LPD-Space Method'!D11)</f>
        <v>No</v>
      </c>
      <c r="E11" s="180" t="str">
        <f>IF('6d. Interior LPD-Space Method'!E11="","",'6d. Interior LPD-Space Method'!E11)</f>
        <v/>
      </c>
      <c r="F11" s="136"/>
      <c r="G11" s="136"/>
      <c r="H11" s="80" t="str">
        <f>IF($A11="","",IF($B11="","",VLOOKUP($A11,'GSG LPD'!$A$2:$B$106,2)))</f>
        <v/>
      </c>
      <c r="I11" s="179" t="str">
        <f>IF('6d. Interior LPD-Space Method'!F11="","",'6d. Interior LPD-Space Method'!F11)</f>
        <v>Yes</v>
      </c>
      <c r="J11" s="179" t="str">
        <f>IF('6d. Interior LPD-Space Method'!G11="","",'6d. Interior LPD-Space Method'!G11)</f>
        <v>No</v>
      </c>
      <c r="K11" s="181" t="str">
        <f>IF('6d. Interior LPD-Space Method'!H11="","",'6d. Interior LPD-Space Method'!H11)</f>
        <v/>
      </c>
    </row>
    <row r="12" spans="1:11" x14ac:dyDescent="0.25">
      <c r="A12" s="134" t="str">
        <f>IF('6d. Interior LPD-Space Method'!A12="","",'6d. Interior LPD-Space Method'!A12)</f>
        <v/>
      </c>
      <c r="B12" s="178" t="str">
        <f>IF('6d. Interior LPD-Space Method'!B12="","",'6d. Interior LPD-Space Method'!B12)</f>
        <v/>
      </c>
      <c r="C12" s="179" t="str">
        <f>IF('6d. Interior LPD-Space Method'!C12="","",'6d. Interior LPD-Space Method'!C12)</f>
        <v>Yes</v>
      </c>
      <c r="D12" s="179" t="str">
        <f>IF('6d. Interior LPD-Space Method'!D12="","",'6d. Interior LPD-Space Method'!D12)</f>
        <v>No</v>
      </c>
      <c r="E12" s="180" t="str">
        <f>IF('6d. Interior LPD-Space Method'!E12="","",'6d. Interior LPD-Space Method'!E12)</f>
        <v/>
      </c>
      <c r="F12" s="136"/>
      <c r="G12" s="136"/>
      <c r="H12" s="80" t="str">
        <f>IF($A12="","",IF($B12="","",VLOOKUP($A12,'GSG LPD'!$A$2:$B$106,2)))</f>
        <v/>
      </c>
      <c r="I12" s="179" t="str">
        <f>IF('6d. Interior LPD-Space Method'!F12="","",'6d. Interior LPD-Space Method'!F12)</f>
        <v>Yes</v>
      </c>
      <c r="J12" s="179" t="str">
        <f>IF('6d. Interior LPD-Space Method'!G12="","",'6d. Interior LPD-Space Method'!G12)</f>
        <v>No</v>
      </c>
      <c r="K12" s="181" t="str">
        <f>IF('6d. Interior LPD-Space Method'!H12="","",'6d. Interior LPD-Space Method'!H12)</f>
        <v/>
      </c>
    </row>
    <row r="13" spans="1:11" x14ac:dyDescent="0.25">
      <c r="A13" s="134" t="str">
        <f>IF('6d. Interior LPD-Space Method'!A13="","",'6d. Interior LPD-Space Method'!A13)</f>
        <v/>
      </c>
      <c r="B13" s="178" t="str">
        <f>IF('6d. Interior LPD-Space Method'!B13="","",'6d. Interior LPD-Space Method'!B13)</f>
        <v/>
      </c>
      <c r="C13" s="179" t="str">
        <f>IF('6d. Interior LPD-Space Method'!C13="","",'6d. Interior LPD-Space Method'!C13)</f>
        <v>Yes</v>
      </c>
      <c r="D13" s="179" t="str">
        <f>IF('6d. Interior LPD-Space Method'!D13="","",'6d. Interior LPD-Space Method'!D13)</f>
        <v>Yes</v>
      </c>
      <c r="E13" s="180" t="str">
        <f>IF('6d. Interior LPD-Space Method'!E13="","",'6d. Interior LPD-Space Method'!E13)</f>
        <v/>
      </c>
      <c r="F13" s="136"/>
      <c r="G13" s="136"/>
      <c r="H13" s="80" t="str">
        <f>IF($A13="","",IF($B13="","",VLOOKUP($A13,'GSG LPD'!$A$2:$B$106,2)))</f>
        <v/>
      </c>
      <c r="I13" s="179" t="str">
        <f>IF('6d. Interior LPD-Space Method'!F13="","",'6d. Interior LPD-Space Method'!F13)</f>
        <v>Yes</v>
      </c>
      <c r="J13" s="179" t="str">
        <f>IF('6d. Interior LPD-Space Method'!G13="","",'6d. Interior LPD-Space Method'!G13)</f>
        <v>Yes</v>
      </c>
      <c r="K13" s="181" t="str">
        <f>IF('6d. Interior LPD-Space Method'!H13="","",'6d. Interior LPD-Space Method'!H13)</f>
        <v/>
      </c>
    </row>
    <row r="14" spans="1:11" x14ac:dyDescent="0.25">
      <c r="A14" s="134" t="str">
        <f>IF('6d. Interior LPD-Space Method'!A14="","",'6d. Interior LPD-Space Method'!A14)</f>
        <v/>
      </c>
      <c r="B14" s="178" t="str">
        <f>IF('6d. Interior LPD-Space Method'!B14="","",'6d. Interior LPD-Space Method'!B14)</f>
        <v/>
      </c>
      <c r="C14" s="179" t="str">
        <f>IF('6d. Interior LPD-Space Method'!C14="","",'6d. Interior LPD-Space Method'!C14)</f>
        <v>Yes</v>
      </c>
      <c r="D14" s="179" t="str">
        <f>IF('6d. Interior LPD-Space Method'!D14="","",'6d. Interior LPD-Space Method'!D14)</f>
        <v>No</v>
      </c>
      <c r="E14" s="180" t="str">
        <f>IF('6d. Interior LPD-Space Method'!E14="","",'6d. Interior LPD-Space Method'!E14)</f>
        <v/>
      </c>
      <c r="F14" s="136"/>
      <c r="G14" s="136"/>
      <c r="H14" s="80" t="str">
        <f>IF($A14="","",IF($B14="","",VLOOKUP($A14,'GSG LPD'!$A$2:$B$106,2)))</f>
        <v/>
      </c>
      <c r="I14" s="179" t="str">
        <f>IF('6d. Interior LPD-Space Method'!F14="","",'6d. Interior LPD-Space Method'!F14)</f>
        <v>Yes</v>
      </c>
      <c r="J14" s="179" t="str">
        <f>IF('6d. Interior LPD-Space Method'!G14="","",'6d. Interior LPD-Space Method'!G14)</f>
        <v>No</v>
      </c>
      <c r="K14" s="181" t="str">
        <f>IF('6d. Interior LPD-Space Method'!H14="","",'6d. Interior LPD-Space Method'!H14)</f>
        <v/>
      </c>
    </row>
    <row r="15" spans="1:11" x14ac:dyDescent="0.25">
      <c r="A15" s="134" t="str">
        <f>IF('6d. Interior LPD-Space Method'!A15="","",'6d. Interior LPD-Space Method'!A15)</f>
        <v/>
      </c>
      <c r="B15" s="178" t="str">
        <f>IF('6d. Interior LPD-Space Method'!B15="","",'6d. Interior LPD-Space Method'!B15)</f>
        <v/>
      </c>
      <c r="C15" s="179" t="str">
        <f>IF('6d. Interior LPD-Space Method'!C15="","",'6d. Interior LPD-Space Method'!C15)</f>
        <v>Yes</v>
      </c>
      <c r="D15" s="179" t="str">
        <f>IF('6d. Interior LPD-Space Method'!D15="","",'6d. Interior LPD-Space Method'!D15)</f>
        <v>No</v>
      </c>
      <c r="E15" s="180" t="str">
        <f>IF('6d. Interior LPD-Space Method'!E15="","",'6d. Interior LPD-Space Method'!E15)</f>
        <v/>
      </c>
      <c r="F15" s="136"/>
      <c r="G15" s="136"/>
      <c r="H15" s="80" t="str">
        <f>IF($A15="","",IF($B15="","",VLOOKUP($A15,'GSG LPD'!$A$2:$B$106,2)))</f>
        <v/>
      </c>
      <c r="I15" s="179" t="str">
        <f>IF('6d. Interior LPD-Space Method'!F15="","",'6d. Interior LPD-Space Method'!F15)</f>
        <v>Yes</v>
      </c>
      <c r="J15" s="179" t="str">
        <f>IF('6d. Interior LPD-Space Method'!G15="","",'6d. Interior LPD-Space Method'!G15)</f>
        <v>No</v>
      </c>
      <c r="K15" s="181" t="str">
        <f>IF('6d. Interior LPD-Space Method'!H15="","",'6d. Interior LPD-Space Method'!H15)</f>
        <v/>
      </c>
    </row>
    <row r="16" spans="1:11" x14ac:dyDescent="0.25">
      <c r="A16" s="134" t="str">
        <f>IF('6d. Interior LPD-Space Method'!A16="","",'6d. Interior LPD-Space Method'!A16)</f>
        <v/>
      </c>
      <c r="B16" s="178" t="str">
        <f>IF('6d. Interior LPD-Space Method'!B16="","",'6d. Interior LPD-Space Method'!B16)</f>
        <v/>
      </c>
      <c r="C16" s="179" t="str">
        <f>IF('6d. Interior LPD-Space Method'!C16="","",'6d. Interior LPD-Space Method'!C16)</f>
        <v>No</v>
      </c>
      <c r="D16" s="179" t="str">
        <f>IF('6d. Interior LPD-Space Method'!D16="","",'6d. Interior LPD-Space Method'!D16)</f>
        <v>No</v>
      </c>
      <c r="E16" s="180" t="str">
        <f>IF('6d. Interior LPD-Space Method'!E16="","",'6d. Interior LPD-Space Method'!E16)</f>
        <v/>
      </c>
      <c r="F16" s="136"/>
      <c r="G16" s="136"/>
      <c r="H16" s="80" t="str">
        <f>IF($A16="","",IF($B16="","",VLOOKUP($A16,'GSG LPD'!$A$2:$B$106,2)))</f>
        <v/>
      </c>
      <c r="I16" s="179" t="str">
        <f>IF('6d. Interior LPD-Space Method'!F16="","",'6d. Interior LPD-Space Method'!F16)</f>
        <v>No</v>
      </c>
      <c r="J16" s="179" t="str">
        <f>IF('6d. Interior LPD-Space Method'!G16="","",'6d. Interior LPD-Space Method'!G16)</f>
        <v>No</v>
      </c>
      <c r="K16" s="181" t="str">
        <f>IF('6d. Interior LPD-Space Method'!H16="","",'6d. Interior LPD-Space Method'!H16)</f>
        <v/>
      </c>
    </row>
    <row r="17" spans="1:11" x14ac:dyDescent="0.25">
      <c r="A17" s="134" t="str">
        <f>IF('6d. Interior LPD-Space Method'!A17="","",'6d. Interior LPD-Space Method'!A17)</f>
        <v/>
      </c>
      <c r="B17" s="178" t="str">
        <f>IF('6d. Interior LPD-Space Method'!B17="","",'6d. Interior LPD-Space Method'!B17)</f>
        <v/>
      </c>
      <c r="C17" s="179" t="str">
        <f>IF('6d. Interior LPD-Space Method'!C17="","",'6d. Interior LPD-Space Method'!C17)</f>
        <v>Yes</v>
      </c>
      <c r="D17" s="179" t="str">
        <f>IF('6d. Interior LPD-Space Method'!D17="","",'6d. Interior LPD-Space Method'!D17)</f>
        <v>Yes</v>
      </c>
      <c r="E17" s="180" t="str">
        <f>IF('6d. Interior LPD-Space Method'!E17="","",'6d. Interior LPD-Space Method'!E17)</f>
        <v/>
      </c>
      <c r="F17" s="136"/>
      <c r="G17" s="136"/>
      <c r="H17" s="80" t="str">
        <f>IF($A17="","",IF($B17="","",VLOOKUP($A17,'GSG LPD'!$A$2:$B$106,2)))</f>
        <v/>
      </c>
      <c r="I17" s="179" t="str">
        <f>IF('6d. Interior LPD-Space Method'!F17="","",'6d. Interior LPD-Space Method'!F17)</f>
        <v>Yes</v>
      </c>
      <c r="J17" s="179" t="str">
        <f>IF('6d. Interior LPD-Space Method'!G17="","",'6d. Interior LPD-Space Method'!G17)</f>
        <v>Yes</v>
      </c>
      <c r="K17" s="181" t="str">
        <f>IF('6d. Interior LPD-Space Method'!H17="","",'6d. Interior LPD-Space Method'!H17)</f>
        <v/>
      </c>
    </row>
    <row r="18" spans="1:11" x14ac:dyDescent="0.25">
      <c r="A18" s="134" t="str">
        <f>IF('6d. Interior LPD-Space Method'!A18="","",'6d. Interior LPD-Space Method'!A18)</f>
        <v/>
      </c>
      <c r="B18" s="178" t="str">
        <f>IF('6d. Interior LPD-Space Method'!B18="","",'6d. Interior LPD-Space Method'!B18)</f>
        <v/>
      </c>
      <c r="C18" s="179" t="str">
        <f>IF('6d. Interior LPD-Space Method'!C18="","",'6d. Interior LPD-Space Method'!C18)</f>
        <v>No</v>
      </c>
      <c r="D18" s="179" t="str">
        <f>IF('6d. Interior LPD-Space Method'!D18="","",'6d. Interior LPD-Space Method'!D18)</f>
        <v>No</v>
      </c>
      <c r="E18" s="180" t="str">
        <f>IF('6d. Interior LPD-Space Method'!E18="","",'6d. Interior LPD-Space Method'!E18)</f>
        <v/>
      </c>
      <c r="F18" s="136"/>
      <c r="G18" s="136"/>
      <c r="H18" s="80" t="str">
        <f>IF($A18="","",IF($B18="","",VLOOKUP($A18,'GSG LPD'!$A$2:$B$106,2)))</f>
        <v/>
      </c>
      <c r="I18" s="179" t="str">
        <f>IF('6d. Interior LPD-Space Method'!F18="","",'6d. Interior LPD-Space Method'!F18)</f>
        <v>No</v>
      </c>
      <c r="J18" s="179" t="str">
        <f>IF('6d. Interior LPD-Space Method'!G18="","",'6d. Interior LPD-Space Method'!G18)</f>
        <v>No</v>
      </c>
      <c r="K18" s="181" t="str">
        <f>IF('6d. Interior LPD-Space Method'!H18="","",'6d. Interior LPD-Space Method'!H18)</f>
        <v/>
      </c>
    </row>
    <row r="19" spans="1:11" x14ac:dyDescent="0.25">
      <c r="A19" s="134" t="str">
        <f>IF('6d. Interior LPD-Space Method'!A19="","",'6d. Interior LPD-Space Method'!A19)</f>
        <v/>
      </c>
      <c r="B19" s="178" t="str">
        <f>IF('6d. Interior LPD-Space Method'!B19="","",'6d. Interior LPD-Space Method'!B19)</f>
        <v/>
      </c>
      <c r="C19" s="179" t="str">
        <f>IF('6d. Interior LPD-Space Method'!C19="","",'6d. Interior LPD-Space Method'!C19)</f>
        <v>No</v>
      </c>
      <c r="D19" s="179" t="str">
        <f>IF('6d. Interior LPD-Space Method'!D19="","",'6d. Interior LPD-Space Method'!D19)</f>
        <v>Yes</v>
      </c>
      <c r="E19" s="180" t="str">
        <f>IF('6d. Interior LPD-Space Method'!E19="","",'6d. Interior LPD-Space Method'!E19)</f>
        <v/>
      </c>
      <c r="F19" s="136"/>
      <c r="G19" s="136"/>
      <c r="H19" s="80" t="str">
        <f>IF($A19="","",IF($B19="","",VLOOKUP($A19,'GSG LPD'!$A$2:$B$106,2)))</f>
        <v/>
      </c>
      <c r="I19" s="179" t="str">
        <f>IF('6d. Interior LPD-Space Method'!F19="","",'6d. Interior LPD-Space Method'!F19)</f>
        <v>No</v>
      </c>
      <c r="J19" s="179" t="str">
        <f>IF('6d. Interior LPD-Space Method'!G19="","",'6d. Interior LPD-Space Method'!G19)</f>
        <v>Yes</v>
      </c>
      <c r="K19" s="181" t="str">
        <f>IF('6d. Interior LPD-Space Method'!H19="","",'6d. Interior LPD-Space Method'!H19)</f>
        <v/>
      </c>
    </row>
    <row r="20" spans="1:11" x14ac:dyDescent="0.25">
      <c r="A20" s="134" t="str">
        <f>IF('6d. Interior LPD-Space Method'!A20="","",'6d. Interior LPD-Space Method'!A20)</f>
        <v/>
      </c>
      <c r="B20" s="178" t="str">
        <f>IF('6d. Interior LPD-Space Method'!B20="","",'6d. Interior LPD-Space Method'!B20)</f>
        <v/>
      </c>
      <c r="C20" s="179" t="str">
        <f>IF('6d. Interior LPD-Space Method'!C20="","",'6d. Interior LPD-Space Method'!C20)</f>
        <v/>
      </c>
      <c r="D20" s="179" t="str">
        <f>IF('6d. Interior LPD-Space Method'!D20="","",'6d. Interior LPD-Space Method'!D20)</f>
        <v/>
      </c>
      <c r="E20" s="180" t="str">
        <f>IF('6d. Interior LPD-Space Method'!E20="","",'6d. Interior LPD-Space Method'!E20)</f>
        <v/>
      </c>
      <c r="F20" s="136"/>
      <c r="G20" s="136"/>
      <c r="H20" s="80" t="str">
        <f>IF($A20="","",IF($B20="","",VLOOKUP($A20,'GSG LPD'!$A$2:$B$106,2)))</f>
        <v/>
      </c>
      <c r="I20" s="179" t="str">
        <f>IF('6d. Interior LPD-Space Method'!F20="","",'6d. Interior LPD-Space Method'!F20)</f>
        <v/>
      </c>
      <c r="J20" s="179" t="str">
        <f>IF('6d. Interior LPD-Space Method'!G20="","",'6d. Interior LPD-Space Method'!G20)</f>
        <v/>
      </c>
      <c r="K20" s="181" t="str">
        <f>IF('6d. Interior LPD-Space Method'!H20="","",'6d. Interior LPD-Space Method'!H20)</f>
        <v/>
      </c>
    </row>
    <row r="21" spans="1:11" x14ac:dyDescent="0.25">
      <c r="A21" s="134" t="str">
        <f>IF('6d. Interior LPD-Space Method'!A21="","",'6d. Interior LPD-Space Method'!A21)</f>
        <v/>
      </c>
      <c r="B21" s="178" t="str">
        <f>IF('6d. Interior LPD-Space Method'!B21="","",'6d. Interior LPD-Space Method'!B21)</f>
        <v/>
      </c>
      <c r="C21" s="179" t="str">
        <f>IF('6d. Interior LPD-Space Method'!C21="","",'6d. Interior LPD-Space Method'!C21)</f>
        <v/>
      </c>
      <c r="D21" s="179" t="str">
        <f>IF('6d. Interior LPD-Space Method'!D21="","",'6d. Interior LPD-Space Method'!D21)</f>
        <v/>
      </c>
      <c r="E21" s="180" t="str">
        <f>IF('6d. Interior LPD-Space Method'!E21="","",'6d. Interior LPD-Space Method'!E21)</f>
        <v/>
      </c>
      <c r="F21" s="136"/>
      <c r="G21" s="136"/>
      <c r="H21" s="80" t="str">
        <f>IF($A21="","",IF($B21="","",VLOOKUP($A21,'GSG LPD'!$A$2:$B$106,2)))</f>
        <v/>
      </c>
      <c r="I21" s="179" t="str">
        <f>IF('6d. Interior LPD-Space Method'!F21="","",'6d. Interior LPD-Space Method'!F21)</f>
        <v/>
      </c>
      <c r="J21" s="179" t="str">
        <f>IF('6d. Interior LPD-Space Method'!G21="","",'6d. Interior LPD-Space Method'!G21)</f>
        <v/>
      </c>
      <c r="K21" s="181" t="str">
        <f>IF('6d. Interior LPD-Space Method'!H21="","",'6d. Interior LPD-Space Method'!H21)</f>
        <v/>
      </c>
    </row>
    <row r="22" spans="1:11" x14ac:dyDescent="0.25">
      <c r="A22" s="134" t="str">
        <f>IF('6d. Interior LPD-Space Method'!A22="","",'6d. Interior LPD-Space Method'!A22)</f>
        <v/>
      </c>
      <c r="B22" s="178" t="str">
        <f>IF('6d. Interior LPD-Space Method'!B22="","",'6d. Interior LPD-Space Method'!B22)</f>
        <v/>
      </c>
      <c r="C22" s="179" t="str">
        <f>IF('6d. Interior LPD-Space Method'!C22="","",'6d. Interior LPD-Space Method'!C22)</f>
        <v/>
      </c>
      <c r="D22" s="179" t="str">
        <f>IF('6d. Interior LPD-Space Method'!D22="","",'6d. Interior LPD-Space Method'!D22)</f>
        <v/>
      </c>
      <c r="E22" s="180" t="str">
        <f>IF('6d. Interior LPD-Space Method'!E22="","",'6d. Interior LPD-Space Method'!E22)</f>
        <v/>
      </c>
      <c r="F22" s="136"/>
      <c r="G22" s="136"/>
      <c r="H22" s="80" t="str">
        <f>IF($A22="","",IF($B22="","",VLOOKUP($A22,'GSG LPD'!$A$2:$B$106,2)))</f>
        <v/>
      </c>
      <c r="I22" s="179" t="str">
        <f>IF('6d. Interior LPD-Space Method'!F22="","",'6d. Interior LPD-Space Method'!F22)</f>
        <v/>
      </c>
      <c r="J22" s="179" t="str">
        <f>IF('6d. Interior LPD-Space Method'!G22="","",'6d. Interior LPD-Space Method'!G22)</f>
        <v/>
      </c>
      <c r="K22" s="181" t="str">
        <f>IF('6d. Interior LPD-Space Method'!H22="","",'6d. Interior LPD-Space Method'!H22)</f>
        <v/>
      </c>
    </row>
    <row r="23" spans="1:11" x14ac:dyDescent="0.25">
      <c r="A23" s="134" t="str">
        <f>IF('6d. Interior LPD-Space Method'!A23="","",'6d. Interior LPD-Space Method'!A23)</f>
        <v/>
      </c>
      <c r="B23" s="178" t="str">
        <f>IF('6d. Interior LPD-Space Method'!B23="","",'6d. Interior LPD-Space Method'!B23)</f>
        <v/>
      </c>
      <c r="C23" s="179" t="str">
        <f>IF('6d. Interior LPD-Space Method'!C23="","",'6d. Interior LPD-Space Method'!C23)</f>
        <v/>
      </c>
      <c r="D23" s="179" t="str">
        <f>IF('6d. Interior LPD-Space Method'!D23="","",'6d. Interior LPD-Space Method'!D23)</f>
        <v/>
      </c>
      <c r="E23" s="180" t="str">
        <f>IF('6d. Interior LPD-Space Method'!E23="","",'6d. Interior LPD-Space Method'!E23)</f>
        <v/>
      </c>
      <c r="F23" s="136"/>
      <c r="G23" s="136"/>
      <c r="H23" s="80" t="str">
        <f>IF($A23="","",IF($B23="","",VLOOKUP($A23,'GSG LPD'!$A$2:$B$106,2)))</f>
        <v/>
      </c>
      <c r="I23" s="179" t="str">
        <f>IF('6d. Interior LPD-Space Method'!F23="","",'6d. Interior LPD-Space Method'!F23)</f>
        <v/>
      </c>
      <c r="J23" s="179" t="str">
        <f>IF('6d. Interior LPD-Space Method'!G23="","",'6d. Interior LPD-Space Method'!G23)</f>
        <v/>
      </c>
      <c r="K23" s="181" t="str">
        <f>IF('6d. Interior LPD-Space Method'!H23="","",'6d. Interior LPD-Space Method'!H23)</f>
        <v/>
      </c>
    </row>
    <row r="24" spans="1:11" x14ac:dyDescent="0.25">
      <c r="A24" s="134" t="str">
        <f>IF('6d. Interior LPD-Space Method'!A24="","",'6d. Interior LPD-Space Method'!A24)</f>
        <v/>
      </c>
      <c r="B24" s="178" t="str">
        <f>IF('6d. Interior LPD-Space Method'!B24="","",'6d. Interior LPD-Space Method'!B24)</f>
        <v/>
      </c>
      <c r="C24" s="179" t="str">
        <f>IF('6d. Interior LPD-Space Method'!C24="","",'6d. Interior LPD-Space Method'!C24)</f>
        <v/>
      </c>
      <c r="D24" s="179" t="str">
        <f>IF('6d. Interior LPD-Space Method'!D24="","",'6d. Interior LPD-Space Method'!D24)</f>
        <v/>
      </c>
      <c r="E24" s="180" t="str">
        <f>IF('6d. Interior LPD-Space Method'!E24="","",'6d. Interior LPD-Space Method'!E24)</f>
        <v/>
      </c>
      <c r="F24" s="136"/>
      <c r="G24" s="136"/>
      <c r="H24" s="80" t="str">
        <f>IF($A24="","",IF($B24="","",VLOOKUP($A24,'GSG LPD'!$A$2:$B$106,2)))</f>
        <v/>
      </c>
      <c r="I24" s="179" t="str">
        <f>IF('6d. Interior LPD-Space Method'!F24="","",'6d. Interior LPD-Space Method'!F24)</f>
        <v/>
      </c>
      <c r="J24" s="179" t="str">
        <f>IF('6d. Interior LPD-Space Method'!G24="","",'6d. Interior LPD-Space Method'!G24)</f>
        <v/>
      </c>
      <c r="K24" s="181" t="str">
        <f>IF('6d. Interior LPD-Space Method'!H24="","",'6d. Interior LPD-Space Method'!H24)</f>
        <v/>
      </c>
    </row>
    <row r="25" spans="1:11" x14ac:dyDescent="0.25">
      <c r="A25" s="134" t="str">
        <f>IF('6d. Interior LPD-Space Method'!A25="","",'6d. Interior LPD-Space Method'!A25)</f>
        <v/>
      </c>
      <c r="B25" s="178" t="str">
        <f>IF('6d. Interior LPD-Space Method'!B25="","",'6d. Interior LPD-Space Method'!B25)</f>
        <v/>
      </c>
      <c r="C25" s="179" t="str">
        <f>IF('6d. Interior LPD-Space Method'!C25="","",'6d. Interior LPD-Space Method'!C25)</f>
        <v/>
      </c>
      <c r="D25" s="179" t="str">
        <f>IF('6d. Interior LPD-Space Method'!D25="","",'6d. Interior LPD-Space Method'!D25)</f>
        <v/>
      </c>
      <c r="E25" s="180" t="str">
        <f>IF('6d. Interior LPD-Space Method'!E25="","",'6d. Interior LPD-Space Method'!E25)</f>
        <v/>
      </c>
      <c r="F25" s="136"/>
      <c r="G25" s="136"/>
      <c r="H25" s="80" t="str">
        <f>IF($A25="","",IF($B25="","",VLOOKUP($A25,'GSG LPD'!$A$2:$B$106,2)))</f>
        <v/>
      </c>
      <c r="I25" s="179" t="str">
        <f>IF('6d. Interior LPD-Space Method'!F25="","",'6d. Interior LPD-Space Method'!F25)</f>
        <v/>
      </c>
      <c r="J25" s="179" t="str">
        <f>IF('6d. Interior LPD-Space Method'!G25="","",'6d. Interior LPD-Space Method'!G25)</f>
        <v/>
      </c>
      <c r="K25" s="181" t="str">
        <f>IF('6d. Interior LPD-Space Method'!H25="","",'6d. Interior LPD-Space Method'!H25)</f>
        <v/>
      </c>
    </row>
    <row r="26" spans="1:11" x14ac:dyDescent="0.25">
      <c r="A26" s="134" t="str">
        <f>IF('6d. Interior LPD-Space Method'!A26="","",'6d. Interior LPD-Space Method'!A26)</f>
        <v/>
      </c>
      <c r="B26" s="178" t="str">
        <f>IF('6d. Interior LPD-Space Method'!B26="","",'6d. Interior LPD-Space Method'!B26)</f>
        <v/>
      </c>
      <c r="C26" s="179" t="str">
        <f>IF('6d. Interior LPD-Space Method'!C26="","",'6d. Interior LPD-Space Method'!C26)</f>
        <v/>
      </c>
      <c r="D26" s="179" t="str">
        <f>IF('6d. Interior LPD-Space Method'!D26="","",'6d. Interior LPD-Space Method'!D26)</f>
        <v/>
      </c>
      <c r="E26" s="180" t="str">
        <f>IF('6d. Interior LPD-Space Method'!E26="","",'6d. Interior LPD-Space Method'!E26)</f>
        <v/>
      </c>
      <c r="F26" s="136"/>
      <c r="G26" s="136"/>
      <c r="H26" s="80" t="str">
        <f>IF($A26="","",IF($B26="","",VLOOKUP($A26,'GSG LPD'!$A$2:$B$106,2)))</f>
        <v/>
      </c>
      <c r="I26" s="179" t="str">
        <f>IF('6d. Interior LPD-Space Method'!F26="","",'6d. Interior LPD-Space Method'!F26)</f>
        <v/>
      </c>
      <c r="J26" s="179" t="str">
        <f>IF('6d. Interior LPD-Space Method'!G26="","",'6d. Interior LPD-Space Method'!G26)</f>
        <v/>
      </c>
      <c r="K26" s="181" t="str">
        <f>IF('6d. Interior LPD-Space Method'!H26="","",'6d. Interior LPD-Space Method'!H26)</f>
        <v/>
      </c>
    </row>
    <row r="27" spans="1:11" x14ac:dyDescent="0.25">
      <c r="A27" s="134" t="str">
        <f>IF('6d. Interior LPD-Space Method'!A27="","",'6d. Interior LPD-Space Method'!A27)</f>
        <v/>
      </c>
      <c r="B27" s="178" t="str">
        <f>IF('6d. Interior LPD-Space Method'!B27="","",'6d. Interior LPD-Space Method'!B27)</f>
        <v/>
      </c>
      <c r="C27" s="179" t="str">
        <f>IF('6d. Interior LPD-Space Method'!C27="","",'6d. Interior LPD-Space Method'!C27)</f>
        <v/>
      </c>
      <c r="D27" s="179" t="str">
        <f>IF('6d. Interior LPD-Space Method'!D27="","",'6d. Interior LPD-Space Method'!D27)</f>
        <v/>
      </c>
      <c r="E27" s="180" t="str">
        <f>IF('6d. Interior LPD-Space Method'!E27="","",'6d. Interior LPD-Space Method'!E27)</f>
        <v/>
      </c>
      <c r="F27" s="136"/>
      <c r="G27" s="136"/>
      <c r="H27" s="80" t="str">
        <f>IF($A27="","",IF($B27="","",VLOOKUP($A27,'GSG LPD'!$A$2:$B$106,2)))</f>
        <v/>
      </c>
      <c r="I27" s="179" t="str">
        <f>IF('6d. Interior LPD-Space Method'!F27="","",'6d. Interior LPD-Space Method'!F27)</f>
        <v/>
      </c>
      <c r="J27" s="179" t="str">
        <f>IF('6d. Interior LPD-Space Method'!G27="","",'6d. Interior LPD-Space Method'!G27)</f>
        <v/>
      </c>
      <c r="K27" s="181" t="str">
        <f>IF('6d. Interior LPD-Space Method'!H27="","",'6d. Interior LPD-Space Method'!H27)</f>
        <v/>
      </c>
    </row>
    <row r="28" spans="1:11" x14ac:dyDescent="0.25">
      <c r="A28" s="134" t="str">
        <f>IF('6d. Interior LPD-Space Method'!A28="","",'6d. Interior LPD-Space Method'!A28)</f>
        <v/>
      </c>
      <c r="B28" s="178" t="str">
        <f>IF('6d. Interior LPD-Space Method'!B28="","",'6d. Interior LPD-Space Method'!B28)</f>
        <v/>
      </c>
      <c r="C28" s="179" t="str">
        <f>IF('6d. Interior LPD-Space Method'!C28="","",'6d. Interior LPD-Space Method'!C28)</f>
        <v/>
      </c>
      <c r="D28" s="179" t="str">
        <f>IF('6d. Interior LPD-Space Method'!D28="","",'6d. Interior LPD-Space Method'!D28)</f>
        <v/>
      </c>
      <c r="E28" s="180" t="str">
        <f>IF('6d. Interior LPD-Space Method'!E28="","",'6d. Interior LPD-Space Method'!E28)</f>
        <v/>
      </c>
      <c r="F28" s="136"/>
      <c r="G28" s="136"/>
      <c r="H28" s="80" t="str">
        <f>IF($A28="","",IF($B28="","",VLOOKUP($A28,'GSG LPD'!$A$2:$B$106,2)))</f>
        <v/>
      </c>
      <c r="I28" s="179" t="str">
        <f>IF('6d. Interior LPD-Space Method'!F28="","",'6d. Interior LPD-Space Method'!F28)</f>
        <v/>
      </c>
      <c r="J28" s="179" t="str">
        <f>IF('6d. Interior LPD-Space Method'!G28="","",'6d. Interior LPD-Space Method'!G28)</f>
        <v/>
      </c>
      <c r="K28" s="181" t="str">
        <f>IF('6d. Interior LPD-Space Method'!H28="","",'6d. Interior LPD-Space Method'!H28)</f>
        <v/>
      </c>
    </row>
    <row r="29" spans="1:11" x14ac:dyDescent="0.25">
      <c r="A29" s="47" t="s">
        <v>54</v>
      </c>
      <c r="B29" s="82" t="str">
        <f>IF(B5="","",SUM(B5:B28))</f>
        <v/>
      </c>
      <c r="C29" s="48"/>
      <c r="D29" s="48"/>
      <c r="E29" s="81" t="str">
        <f>IF(B29="","",SUMPRODUCT(B5:B28,E5:E28)/B29)</f>
        <v/>
      </c>
      <c r="F29" s="81"/>
      <c r="G29" s="81"/>
      <c r="H29" s="81" t="str">
        <f>IF(B29="","",SUMPRODUCT($B5:$B28,H5:H28)/B29)</f>
        <v/>
      </c>
      <c r="I29" s="48"/>
      <c r="J29" s="47"/>
      <c r="K29" s="81" t="str">
        <f>IF(K5="","",SUMPRODUCT(B5:B28,K5:K28)/B29)</f>
        <v/>
      </c>
    </row>
    <row r="36" spans="3:3" x14ac:dyDescent="0.25">
      <c r="C36" s="140"/>
    </row>
  </sheetData>
  <mergeCells count="11">
    <mergeCell ref="J3:J4"/>
    <mergeCell ref="A2:A4"/>
    <mergeCell ref="B2:B4"/>
    <mergeCell ref="C2:E2"/>
    <mergeCell ref="F2:H2"/>
    <mergeCell ref="I2:K2"/>
    <mergeCell ref="C3:C4"/>
    <mergeCell ref="D3:D4"/>
    <mergeCell ref="F3:F4"/>
    <mergeCell ref="G3:G4"/>
    <mergeCell ref="I3:I4"/>
  </mergeCells>
  <dataValidations count="1">
    <dataValidation type="list" allowBlank="1" showInputMessage="1" showErrorMessage="1" sqref="F5:G28" xr:uid="{00000000-0002-0000-1000-000000000000}">
      <formula1>Yes_No</formula1>
    </dataValidation>
  </dataValidations>
  <pageMargins left="0.25" right="0.25" top="0.75" bottom="0.75" header="0.3" footer="0.3"/>
  <pageSetup scale="80" orientation="portrait" r:id="rId1"/>
  <headerFooter>
    <oddHeader>&amp;LNYC SCA&amp;C&amp;A</oddHeader>
    <oddFooter xml:space="preserve">&amp;R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4">
    <tabColor theme="8"/>
  </sheetPr>
  <dimension ref="A3:J37"/>
  <sheetViews>
    <sheetView view="pageLayout" zoomScaleNormal="100" zoomScaleSheetLayoutView="115" workbookViewId="0">
      <selection activeCell="G10" sqref="G10"/>
    </sheetView>
  </sheetViews>
  <sheetFormatPr defaultRowHeight="15" x14ac:dyDescent="0.25"/>
  <cols>
    <col min="1" max="1" width="3.42578125" customWidth="1"/>
    <col min="2" max="2" width="13.140625" customWidth="1"/>
    <col min="3" max="3" width="12.7109375" customWidth="1"/>
    <col min="4" max="4" width="14.5703125" customWidth="1"/>
    <col min="5" max="6" width="14" customWidth="1"/>
  </cols>
  <sheetData>
    <row r="3" spans="1:10" ht="15" customHeight="1" x14ac:dyDescent="0.25">
      <c r="A3" s="391" t="s">
        <v>272</v>
      </c>
      <c r="B3" s="392"/>
      <c r="C3" s="392"/>
      <c r="D3" s="392"/>
      <c r="E3" s="406"/>
    </row>
    <row r="4" spans="1:10" ht="22.5" x14ac:dyDescent="0.25">
      <c r="A4" s="399"/>
      <c r="B4" s="399"/>
      <c r="C4" s="37" t="s">
        <v>983</v>
      </c>
      <c r="D4" s="37" t="s">
        <v>984</v>
      </c>
      <c r="E4" s="37" t="s">
        <v>274</v>
      </c>
    </row>
    <row r="5" spans="1:10" ht="24" customHeight="1" x14ac:dyDescent="0.25">
      <c r="A5" s="399" t="s">
        <v>275</v>
      </c>
      <c r="B5" s="399"/>
      <c r="C5" s="180" t="str">
        <f>IF('6e. Ext LPD 6f. Process Equip.'!C5&gt;0,'6e. Ext LPD 6f. Process Equip.'!C5,"")</f>
        <v/>
      </c>
      <c r="D5" s="80" t="str">
        <f>C5</f>
        <v/>
      </c>
      <c r="E5" s="180" t="str">
        <f>IF('6e. Ext LPD 6f. Process Equip.'!D5&gt;0,'6e. Ext LPD 6f. Process Equip.'!D5,"")</f>
        <v/>
      </c>
    </row>
    <row r="6" spans="1:10" ht="24" customHeight="1" x14ac:dyDescent="0.25">
      <c r="A6" s="399" t="s">
        <v>276</v>
      </c>
      <c r="B6" s="399"/>
      <c r="C6" s="180" t="str">
        <f>IF('6e. Ext LPD 6f. Process Equip.'!C6&gt;0,'6e. Ext LPD 6f. Process Equip.'!C6,"")</f>
        <v/>
      </c>
      <c r="D6" s="80" t="str">
        <f t="shared" ref="D6:D7" si="0">C6</f>
        <v/>
      </c>
      <c r="E6" s="180" t="str">
        <f>IF('6e. Ext LPD 6f. Process Equip.'!D6&gt;0,'6e. Ext LPD 6f. Process Equip.'!D6,"")</f>
        <v/>
      </c>
    </row>
    <row r="7" spans="1:10" x14ac:dyDescent="0.25">
      <c r="A7" s="399" t="s">
        <v>575</v>
      </c>
      <c r="B7" s="399"/>
      <c r="C7" s="180" t="str">
        <f>IF('6e. Ext LPD 6f. Process Equip.'!C7&gt;0,'6e. Ext LPD 6f. Process Equip.'!C7,"")</f>
        <v/>
      </c>
      <c r="D7" s="80" t="str">
        <f t="shared" si="0"/>
        <v/>
      </c>
      <c r="E7" s="180" t="str">
        <f>IF('6e. Ext LPD 6f. Process Equip.'!D7&gt;0,'6e. Ext LPD 6f. Process Equip.'!D7,"")</f>
        <v/>
      </c>
    </row>
    <row r="8" spans="1:10" ht="23.25" customHeight="1" x14ac:dyDescent="0.25">
      <c r="A8" s="399" t="s">
        <v>277</v>
      </c>
      <c r="B8" s="399"/>
      <c r="C8" s="180" t="str">
        <f>IF('6e. Ext LPD 6f. Process Equip.'!C8&gt;0,'6e. Ext LPD 6f. Process Equip.'!C8,"")</f>
        <v/>
      </c>
      <c r="D8" s="80" t="str">
        <f>C8</f>
        <v/>
      </c>
      <c r="E8" s="180" t="str">
        <f>IF('6e. Ext LPD 6f. Process Equip.'!D8&gt;0,'6e. Ext LPD 6f. Process Equip.'!D8,"")</f>
        <v/>
      </c>
    </row>
    <row r="9" spans="1:10" x14ac:dyDescent="0.25">
      <c r="A9" s="67"/>
    </row>
    <row r="12" spans="1:10" ht="15" customHeight="1" x14ac:dyDescent="0.25">
      <c r="A12" s="301" t="s">
        <v>340</v>
      </c>
      <c r="B12" s="302"/>
      <c r="C12" s="302"/>
      <c r="D12" s="302"/>
      <c r="E12" s="302"/>
      <c r="F12" s="303"/>
    </row>
    <row r="13" spans="1:10" ht="45" customHeight="1" x14ac:dyDescent="0.25">
      <c r="A13" s="395" t="s">
        <v>341</v>
      </c>
      <c r="B13" s="407"/>
      <c r="C13" s="37" t="s">
        <v>342</v>
      </c>
      <c r="D13" s="37" t="s">
        <v>985</v>
      </c>
      <c r="E13" s="37" t="s">
        <v>986</v>
      </c>
      <c r="F13" s="37" t="s">
        <v>987</v>
      </c>
    </row>
    <row r="14" spans="1:10" x14ac:dyDescent="0.25">
      <c r="A14" s="397"/>
      <c r="B14" s="408"/>
      <c r="C14" s="136" t="s">
        <v>345</v>
      </c>
      <c r="D14" s="83" t="str">
        <f>IF(C14="","",IF(C14="#","kW","W/SF"))</f>
        <v>W/SF</v>
      </c>
      <c r="E14" s="83" t="str">
        <f>IF(D14="","",IF(D14="#","kW","W/SF"))</f>
        <v>W/SF</v>
      </c>
      <c r="F14" s="37"/>
    </row>
    <row r="15" spans="1:10" x14ac:dyDescent="0.25">
      <c r="A15" s="405" t="str">
        <f>IF('6e. Ext LPD 6f. Process Equip.'!A15&lt;&gt;"",'6e. Ext LPD 6f. Process Equip.'!A15:B15,"")</f>
        <v/>
      </c>
      <c r="B15" s="405"/>
      <c r="C15" s="180" t="str">
        <f>IF('6e. Ext LPD 6f. Process Equip.'!B15&lt;&gt;"",'6e. Ext LPD 6f. Process Equip.'!B15:C15,"")</f>
        <v/>
      </c>
      <c r="D15" s="180" t="str">
        <f>IF('6e. Ext LPD 6f. Process Equip.'!C15&lt;&gt;"",'6e. Ext LPD 6f. Process Equip.'!C15:D15,"")</f>
        <v/>
      </c>
      <c r="E15" s="80" t="str">
        <f>D15</f>
        <v/>
      </c>
      <c r="F15" s="136" t="str">
        <f>E15</f>
        <v/>
      </c>
      <c r="J15" s="143"/>
    </row>
    <row r="16" spans="1:10" x14ac:dyDescent="0.25">
      <c r="A16" s="405" t="str">
        <f>IF('6e. Ext LPD 6f. Process Equip.'!A16&lt;&gt;"",'6e. Ext LPD 6f. Process Equip.'!A16:B16,"")</f>
        <v/>
      </c>
      <c r="B16" s="405"/>
      <c r="C16" s="180" t="str">
        <f>IF('6e. Ext LPD 6f. Process Equip.'!B16&lt;&gt;"",'6e. Ext LPD 6f. Process Equip.'!B16:C16,"")</f>
        <v/>
      </c>
      <c r="D16" s="180" t="str">
        <f>IF('6e. Ext LPD 6f. Process Equip.'!C16&lt;&gt;"",'6e. Ext LPD 6f. Process Equip.'!C16:D16,"")</f>
        <v/>
      </c>
      <c r="E16" s="80" t="str">
        <f t="shared" ref="E16:F16" si="1">D16</f>
        <v/>
      </c>
      <c r="F16" s="136" t="str">
        <f t="shared" si="1"/>
        <v/>
      </c>
      <c r="J16" s="143"/>
    </row>
    <row r="17" spans="1:6" x14ac:dyDescent="0.25">
      <c r="A17" s="405" t="str">
        <f>IF('6e. Ext LPD 6f. Process Equip.'!A17&lt;&gt;"",'6e. Ext LPD 6f. Process Equip.'!A17:B17,"")</f>
        <v/>
      </c>
      <c r="B17" s="405"/>
      <c r="C17" s="180" t="str">
        <f>IF('6e. Ext LPD 6f. Process Equip.'!B17&lt;&gt;"",'6e. Ext LPD 6f. Process Equip.'!B17:C17,"")</f>
        <v/>
      </c>
      <c r="D17" s="180" t="str">
        <f>IF('6e. Ext LPD 6f. Process Equip.'!C17&lt;&gt;"",'6e. Ext LPD 6f. Process Equip.'!C17:D17,"")</f>
        <v/>
      </c>
      <c r="E17" s="80" t="str">
        <f t="shared" ref="E17:F17" si="2">D17</f>
        <v/>
      </c>
      <c r="F17" s="136" t="str">
        <f t="shared" si="2"/>
        <v/>
      </c>
    </row>
    <row r="18" spans="1:6" x14ac:dyDescent="0.25">
      <c r="A18" s="405" t="str">
        <f>IF('6e. Ext LPD 6f. Process Equip.'!A18&lt;&gt;"",'6e. Ext LPD 6f. Process Equip.'!A18:B18,"")</f>
        <v/>
      </c>
      <c r="B18" s="405"/>
      <c r="C18" s="180" t="str">
        <f>IF('6e. Ext LPD 6f. Process Equip.'!B18&lt;&gt;"",'6e. Ext LPD 6f. Process Equip.'!B18:C18,"")</f>
        <v/>
      </c>
      <c r="D18" s="180" t="str">
        <f>IF('6e. Ext LPD 6f. Process Equip.'!C18&lt;&gt;"",'6e. Ext LPD 6f. Process Equip.'!C18:D18,"")</f>
        <v/>
      </c>
      <c r="E18" s="80" t="str">
        <f t="shared" ref="E18:F18" si="3">D18</f>
        <v/>
      </c>
      <c r="F18" s="136" t="str">
        <f t="shared" si="3"/>
        <v/>
      </c>
    </row>
    <row r="19" spans="1:6" x14ac:dyDescent="0.25">
      <c r="A19" s="405" t="str">
        <f>IF('6e. Ext LPD 6f. Process Equip.'!A19&lt;&gt;"",'6e. Ext LPD 6f. Process Equip.'!A19:B19,"")</f>
        <v/>
      </c>
      <c r="B19" s="405"/>
      <c r="C19" s="180" t="str">
        <f>IF('6e. Ext LPD 6f. Process Equip.'!B19&lt;&gt;"",'6e. Ext LPD 6f. Process Equip.'!B19:C19,"")</f>
        <v/>
      </c>
      <c r="D19" s="180" t="str">
        <f>IF('6e. Ext LPD 6f. Process Equip.'!C19&lt;&gt;"",'6e. Ext LPD 6f. Process Equip.'!C19:D19,"")</f>
        <v/>
      </c>
      <c r="E19" s="80" t="str">
        <f t="shared" ref="E19:F19" si="4">D19</f>
        <v/>
      </c>
      <c r="F19" s="136" t="str">
        <f t="shared" si="4"/>
        <v/>
      </c>
    </row>
    <row r="20" spans="1:6" x14ac:dyDescent="0.25">
      <c r="A20" s="405" t="str">
        <f>IF('6e. Ext LPD 6f. Process Equip.'!A20&lt;&gt;"",'6e. Ext LPD 6f. Process Equip.'!A20:B20,"")</f>
        <v/>
      </c>
      <c r="B20" s="405"/>
      <c r="C20" s="180" t="str">
        <f>IF('6e. Ext LPD 6f. Process Equip.'!B20&lt;&gt;"",'6e. Ext LPD 6f. Process Equip.'!B20:C20,"")</f>
        <v/>
      </c>
      <c r="D20" s="180" t="str">
        <f>IF('6e. Ext LPD 6f. Process Equip.'!C20&lt;&gt;"",'6e. Ext LPD 6f. Process Equip.'!C20:D20,"")</f>
        <v/>
      </c>
      <c r="E20" s="80" t="str">
        <f t="shared" ref="E20:F20" si="5">D20</f>
        <v/>
      </c>
      <c r="F20" s="136" t="str">
        <f t="shared" si="5"/>
        <v/>
      </c>
    </row>
    <row r="21" spans="1:6" x14ac:dyDescent="0.25">
      <c r="A21" s="405" t="str">
        <f>IF('6e. Ext LPD 6f. Process Equip.'!A21&lt;&gt;"",'6e. Ext LPD 6f. Process Equip.'!A21:B21,"")</f>
        <v/>
      </c>
      <c r="B21" s="405"/>
      <c r="C21" s="180" t="str">
        <f>IF('6e. Ext LPD 6f. Process Equip.'!B21&lt;&gt;"",'6e. Ext LPD 6f. Process Equip.'!B21:C21,"")</f>
        <v/>
      </c>
      <c r="D21" s="180" t="str">
        <f>IF('6e. Ext LPD 6f. Process Equip.'!C21&lt;&gt;"",'6e. Ext LPD 6f. Process Equip.'!C21:D21,"")</f>
        <v/>
      </c>
      <c r="E21" s="80" t="str">
        <f t="shared" ref="E21:F21" si="6">D21</f>
        <v/>
      </c>
      <c r="F21" s="136" t="str">
        <f t="shared" si="6"/>
        <v/>
      </c>
    </row>
    <row r="22" spans="1:6" x14ac:dyDescent="0.25">
      <c r="A22" s="405" t="str">
        <f>IF('6e. Ext LPD 6f. Process Equip.'!A22&lt;&gt;"",'6e. Ext LPD 6f. Process Equip.'!A22:B22,"")</f>
        <v/>
      </c>
      <c r="B22" s="405"/>
      <c r="C22" s="180" t="str">
        <f>IF('6e. Ext LPD 6f. Process Equip.'!B22&lt;&gt;"",'6e. Ext LPD 6f. Process Equip.'!B22:C22,"")</f>
        <v/>
      </c>
      <c r="D22" s="180" t="str">
        <f>IF('6e. Ext LPD 6f. Process Equip.'!C22&lt;&gt;"",'6e. Ext LPD 6f. Process Equip.'!C22:D22,"")</f>
        <v/>
      </c>
      <c r="E22" s="80" t="str">
        <f t="shared" ref="E22:F22" si="7">D22</f>
        <v/>
      </c>
      <c r="F22" s="136" t="str">
        <f t="shared" si="7"/>
        <v/>
      </c>
    </row>
    <row r="23" spans="1:6" x14ac:dyDescent="0.25">
      <c r="A23" s="405" t="str">
        <f>IF('6e. Ext LPD 6f. Process Equip.'!A23&lt;&gt;"",'6e. Ext LPD 6f. Process Equip.'!A23:B23,"")</f>
        <v/>
      </c>
      <c r="B23" s="405"/>
      <c r="C23" s="180" t="str">
        <f>IF('6e. Ext LPD 6f. Process Equip.'!B23&lt;&gt;"",'6e. Ext LPD 6f. Process Equip.'!B23:C23,"")</f>
        <v/>
      </c>
      <c r="D23" s="180" t="str">
        <f>IF('6e. Ext LPD 6f. Process Equip.'!C23&lt;&gt;"",'6e. Ext LPD 6f. Process Equip.'!C23:D23,"")</f>
        <v/>
      </c>
      <c r="E23" s="80" t="str">
        <f t="shared" ref="E23:F23" si="8">D23</f>
        <v/>
      </c>
      <c r="F23" s="136" t="str">
        <f t="shared" si="8"/>
        <v/>
      </c>
    </row>
    <row r="24" spans="1:6" x14ac:dyDescent="0.25">
      <c r="A24" s="405" t="str">
        <f>IF('6e. Ext LPD 6f. Process Equip.'!A24&lt;&gt;"",'6e. Ext LPD 6f. Process Equip.'!A24:B24,"")</f>
        <v/>
      </c>
      <c r="B24" s="405"/>
      <c r="C24" s="180" t="str">
        <f>IF('6e. Ext LPD 6f. Process Equip.'!B24&lt;&gt;"",'6e. Ext LPD 6f. Process Equip.'!B24:C24,"")</f>
        <v/>
      </c>
      <c r="D24" s="180" t="str">
        <f>IF('6e. Ext LPD 6f. Process Equip.'!C24&lt;&gt;"",'6e. Ext LPD 6f. Process Equip.'!C24:D24,"")</f>
        <v/>
      </c>
      <c r="E24" s="80" t="str">
        <f t="shared" ref="E24:F24" si="9">D24</f>
        <v/>
      </c>
      <c r="F24" s="136" t="str">
        <f t="shared" si="9"/>
        <v/>
      </c>
    </row>
    <row r="25" spans="1:6" x14ac:dyDescent="0.25">
      <c r="A25" s="405" t="str">
        <f>IF('6e. Ext LPD 6f. Process Equip.'!A25&lt;&gt;"",'6e. Ext LPD 6f. Process Equip.'!A25:B25,"")</f>
        <v/>
      </c>
      <c r="B25" s="405"/>
      <c r="C25" s="180" t="str">
        <f>IF('6e. Ext LPD 6f. Process Equip.'!B25&lt;&gt;"",'6e. Ext LPD 6f. Process Equip.'!B25:C25,"")</f>
        <v/>
      </c>
      <c r="D25" s="180" t="str">
        <f>IF('6e. Ext LPD 6f. Process Equip.'!C25&lt;&gt;"",'6e. Ext LPD 6f. Process Equip.'!C25:D25,"")</f>
        <v/>
      </c>
      <c r="E25" s="80" t="str">
        <f t="shared" ref="E25:F25" si="10">D25</f>
        <v/>
      </c>
      <c r="F25" s="136" t="str">
        <f t="shared" si="10"/>
        <v/>
      </c>
    </row>
    <row r="26" spans="1:6" x14ac:dyDescent="0.25">
      <c r="A26" s="405" t="str">
        <f>IF('6e. Ext LPD 6f. Process Equip.'!A26&lt;&gt;"",'6e. Ext LPD 6f. Process Equip.'!A26:B26,"")</f>
        <v/>
      </c>
      <c r="B26" s="405"/>
      <c r="C26" s="180" t="str">
        <f>IF('6e. Ext LPD 6f. Process Equip.'!B26&lt;&gt;"",'6e. Ext LPD 6f. Process Equip.'!B26:C26,"")</f>
        <v/>
      </c>
      <c r="D26" s="180" t="str">
        <f>IF('6e. Ext LPD 6f. Process Equip.'!C26&lt;&gt;"",'6e. Ext LPD 6f. Process Equip.'!C26:D26,"")</f>
        <v/>
      </c>
      <c r="E26" s="80" t="str">
        <f t="shared" ref="E26:F26" si="11">D26</f>
        <v/>
      </c>
      <c r="F26" s="136" t="str">
        <f t="shared" si="11"/>
        <v/>
      </c>
    </row>
    <row r="27" spans="1:6" x14ac:dyDescent="0.25">
      <c r="A27" s="399" t="s">
        <v>128</v>
      </c>
      <c r="B27" s="399"/>
      <c r="C27" s="86" t="str">
        <f>IF(SUM(C15:C26)=0,"",SUM(C15:C26))</f>
        <v/>
      </c>
      <c r="D27" s="299" t="str">
        <f>IFERROR(SUMPRODUCT($C$15:$C$26,D15:D26)/$C$27,"")</f>
        <v/>
      </c>
      <c r="E27" s="299" t="str">
        <f t="shared" ref="E27:F27" si="12">IFERROR(SUMPRODUCT($C$15:$C$26,E15:E26)/$C$27,"")</f>
        <v/>
      </c>
      <c r="F27" s="299" t="str">
        <f t="shared" si="12"/>
        <v/>
      </c>
    </row>
    <row r="30" spans="1:6" x14ac:dyDescent="0.25">
      <c r="A30" s="301" t="s">
        <v>988</v>
      </c>
      <c r="B30" s="302"/>
      <c r="C30" s="302"/>
      <c r="D30" s="302"/>
      <c r="E30" s="303"/>
    </row>
    <row r="31" spans="1:6" x14ac:dyDescent="0.25">
      <c r="A31" s="301" t="s">
        <v>989</v>
      </c>
      <c r="B31" s="302"/>
      <c r="C31" s="302"/>
      <c r="D31" s="304"/>
      <c r="E31" s="303"/>
    </row>
    <row r="32" spans="1:6" x14ac:dyDescent="0.25">
      <c r="A32" s="301" t="s">
        <v>990</v>
      </c>
      <c r="B32" s="302"/>
      <c r="C32" s="302"/>
      <c r="D32" s="304" t="s">
        <v>997</v>
      </c>
      <c r="E32" s="303"/>
    </row>
    <row r="33" spans="1:5" x14ac:dyDescent="0.25">
      <c r="A33" s="301" t="s">
        <v>991</v>
      </c>
      <c r="B33" s="302"/>
      <c r="C33" s="302"/>
      <c r="D33" s="304" t="s">
        <v>124</v>
      </c>
      <c r="E33" s="305" t="s">
        <v>1020</v>
      </c>
    </row>
    <row r="34" spans="1:5" x14ac:dyDescent="0.25">
      <c r="A34" s="301" t="s">
        <v>992</v>
      </c>
      <c r="B34" s="302"/>
      <c r="C34" s="302"/>
      <c r="D34" s="304"/>
      <c r="E34" s="305" t="str">
        <f>VLOOKUP(D$31,GSG_List!$A$145:$G$152,2,TRUE)</f>
        <v xml:space="preserve"> </v>
      </c>
    </row>
    <row r="35" spans="1:5" x14ac:dyDescent="0.25">
      <c r="A35" s="301" t="s">
        <v>993</v>
      </c>
      <c r="B35" s="302"/>
      <c r="C35" s="302"/>
      <c r="D35" s="304"/>
      <c r="E35" s="305" t="str">
        <f>VLOOKUP(D$31,GSG_List!$A$145:$G$152,3,TRUE)</f>
        <v xml:space="preserve"> </v>
      </c>
    </row>
    <row r="36" spans="1:5" x14ac:dyDescent="0.25">
      <c r="A36" s="301" t="s">
        <v>994</v>
      </c>
      <c r="B36" s="302"/>
      <c r="C36" s="302"/>
      <c r="D36" s="304"/>
      <c r="E36" s="305" t="str">
        <f>IF(D33="Electric",VLOOKUP(D$31,GSG_List!$A$145:$G$152,5,TRUE),VLOOKUP(D$31,GSG_List!$A$145:$G$152,4,TRUE))</f>
        <v xml:space="preserve"> </v>
      </c>
    </row>
    <row r="37" spans="1:5" x14ac:dyDescent="0.25">
      <c r="A37" s="301" t="s">
        <v>995</v>
      </c>
      <c r="B37" s="302"/>
      <c r="C37" s="302"/>
      <c r="D37" s="304" t="s">
        <v>1024</v>
      </c>
      <c r="E37" s="305" t="str">
        <f>IF(D$33="Electric",VLOOKUP(D$31,GSG_List!$A$145:$G$152,7,TRUE),VLOOKUP(D$31,GSG_List!$A$145:$G$152,6,TRUE))</f>
        <v xml:space="preserve"> </v>
      </c>
    </row>
  </sheetData>
  <mergeCells count="20">
    <mergeCell ref="A3:E3"/>
    <mergeCell ref="A19:B19"/>
    <mergeCell ref="A20:B20"/>
    <mergeCell ref="A21:B21"/>
    <mergeCell ref="A22:B22"/>
    <mergeCell ref="A13:B14"/>
    <mergeCell ref="A15:B15"/>
    <mergeCell ref="A16:B16"/>
    <mergeCell ref="A17:B17"/>
    <mergeCell ref="A18:B18"/>
    <mergeCell ref="A4:B4"/>
    <mergeCell ref="A5:B5"/>
    <mergeCell ref="A6:B6"/>
    <mergeCell ref="A7:B7"/>
    <mergeCell ref="A8:B8"/>
    <mergeCell ref="A25:B25"/>
    <mergeCell ref="A26:B26"/>
    <mergeCell ref="A27:B27"/>
    <mergeCell ref="A23:B23"/>
    <mergeCell ref="A24:B24"/>
  </mergeCells>
  <pageMargins left="0.7" right="0.7" top="0.75" bottom="0.75" header="0.3" footer="0.3"/>
  <pageSetup orientation="portrait" r:id="rId1"/>
  <headerFooter>
    <oddHeader>&amp;LNYC SCA&amp;CExterior LPD &amp; Process Equipment Summary</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1100-000000000000}">
          <x14:formula1>
            <xm:f>Lists!$Q$1:$Q$2</xm:f>
          </x14:formula1>
          <xm:sqref>C14</xm:sqref>
        </x14:dataValidation>
        <x14:dataValidation type="list" allowBlank="1" showInputMessage="1" showErrorMessage="1" xr:uid="{00000000-0002-0000-1100-000001000000}">
          <x14:formula1>
            <xm:f>GSG_List!$A$122:$A$123</xm:f>
          </x14:formula1>
          <xm:sqref>D32</xm:sqref>
        </x14:dataValidation>
        <x14:dataValidation type="list" allowBlank="1" showInputMessage="1" showErrorMessage="1" xr:uid="{00000000-0002-0000-1100-000002000000}">
          <x14:formula1>
            <xm:f>GSG_List!$A$126:$A$128</xm:f>
          </x14:formula1>
          <xm:sqref>D33</xm:sqref>
        </x14:dataValidation>
        <x14:dataValidation type="list" allowBlank="1" showInputMessage="1" showErrorMessage="1" xr:uid="{00000000-0002-0000-1100-000003000000}">
          <x14:formula1>
            <xm:f>GSG_List!$A$131:$A$135</xm:f>
          </x14:formula1>
          <xm:sqref>D35</xm:sqref>
        </x14:dataValidation>
        <x14:dataValidation type="list" allowBlank="1" showInputMessage="1" showErrorMessage="1" xr:uid="{00000000-0002-0000-1100-000004000000}">
          <x14:formula1>
            <xm:f>GSG_List!$A$138:$A$140</xm:f>
          </x14:formula1>
          <xm:sqref>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dimension ref="A1:P30"/>
  <sheetViews>
    <sheetView topLeftCell="A2" workbookViewId="0">
      <selection activeCell="J31" sqref="J31"/>
    </sheetView>
  </sheetViews>
  <sheetFormatPr defaultRowHeight="15" x14ac:dyDescent="0.25"/>
  <cols>
    <col min="1" max="1" width="12.7109375" customWidth="1"/>
    <col min="7" max="7" width="9.7109375" customWidth="1"/>
  </cols>
  <sheetData>
    <row r="1" spans="1:16" x14ac:dyDescent="0.25">
      <c r="A1" s="338" t="s">
        <v>619</v>
      </c>
      <c r="B1" s="332" t="s">
        <v>620</v>
      </c>
      <c r="C1" s="332"/>
      <c r="D1" s="332"/>
      <c r="E1" s="332" t="s">
        <v>625</v>
      </c>
      <c r="F1" s="332"/>
      <c r="G1" s="332"/>
      <c r="H1" s="333" t="s">
        <v>626</v>
      </c>
      <c r="I1" s="333"/>
      <c r="J1" s="333"/>
      <c r="K1" s="332" t="s">
        <v>627</v>
      </c>
      <c r="L1" s="332"/>
      <c r="M1" s="332"/>
      <c r="N1" s="332" t="s">
        <v>628</v>
      </c>
      <c r="O1" s="332"/>
      <c r="P1" s="332"/>
    </row>
    <row r="2" spans="1:16" x14ac:dyDescent="0.25">
      <c r="A2" s="338"/>
      <c r="B2" s="332" t="s">
        <v>621</v>
      </c>
      <c r="C2" s="332"/>
      <c r="D2" s="332"/>
      <c r="E2" s="332" t="s">
        <v>621</v>
      </c>
      <c r="F2" s="332"/>
      <c r="G2" s="332"/>
      <c r="H2" s="333"/>
      <c r="I2" s="333"/>
      <c r="J2" s="333"/>
      <c r="K2" s="332" t="s">
        <v>621</v>
      </c>
      <c r="L2" s="332"/>
      <c r="M2" s="332"/>
      <c r="N2" s="332" t="s">
        <v>621</v>
      </c>
      <c r="O2" s="332"/>
      <c r="P2" s="332"/>
    </row>
    <row r="3" spans="1:16" x14ac:dyDescent="0.25">
      <c r="A3" s="338"/>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5</v>
      </c>
      <c r="L4">
        <v>5</v>
      </c>
      <c r="M4">
        <v>4</v>
      </c>
      <c r="N4">
        <v>0</v>
      </c>
      <c r="O4">
        <v>0</v>
      </c>
      <c r="P4">
        <v>0</v>
      </c>
    </row>
    <row r="5" spans="1:16" x14ac:dyDescent="0.25">
      <c r="A5" t="s">
        <v>630</v>
      </c>
      <c r="B5">
        <v>0</v>
      </c>
      <c r="C5">
        <v>0</v>
      </c>
      <c r="D5">
        <v>0</v>
      </c>
      <c r="E5">
        <v>5</v>
      </c>
      <c r="F5">
        <v>5</v>
      </c>
      <c r="G5">
        <v>5</v>
      </c>
      <c r="H5" t="s">
        <v>657</v>
      </c>
      <c r="I5" t="s">
        <v>657</v>
      </c>
      <c r="J5" t="s">
        <v>657</v>
      </c>
      <c r="K5">
        <v>5</v>
      </c>
      <c r="L5">
        <v>5</v>
      </c>
      <c r="M5">
        <v>4</v>
      </c>
      <c r="N5">
        <v>0</v>
      </c>
      <c r="O5">
        <v>0</v>
      </c>
      <c r="P5">
        <v>0</v>
      </c>
    </row>
    <row r="6" spans="1:16" x14ac:dyDescent="0.25">
      <c r="A6" t="s">
        <v>631</v>
      </c>
      <c r="B6">
        <v>0</v>
      </c>
      <c r="C6">
        <v>0</v>
      </c>
      <c r="D6">
        <v>0</v>
      </c>
      <c r="E6">
        <v>5</v>
      </c>
      <c r="F6">
        <v>5</v>
      </c>
      <c r="G6">
        <v>5</v>
      </c>
      <c r="H6" t="s">
        <v>657</v>
      </c>
      <c r="I6" t="s">
        <v>657</v>
      </c>
      <c r="J6" t="s">
        <v>657</v>
      </c>
      <c r="K6">
        <v>5</v>
      </c>
      <c r="L6">
        <v>5</v>
      </c>
      <c r="M6">
        <v>4</v>
      </c>
      <c r="N6">
        <v>0</v>
      </c>
      <c r="O6">
        <v>0</v>
      </c>
      <c r="P6">
        <v>0</v>
      </c>
    </row>
    <row r="7" spans="1:16" x14ac:dyDescent="0.25">
      <c r="A7" t="s">
        <v>632</v>
      </c>
      <c r="B7">
        <v>0</v>
      </c>
      <c r="C7">
        <v>0</v>
      </c>
      <c r="D7">
        <v>0</v>
      </c>
      <c r="E7">
        <v>5</v>
      </c>
      <c r="F7">
        <v>5</v>
      </c>
      <c r="G7">
        <v>5</v>
      </c>
      <c r="H7" t="s">
        <v>657</v>
      </c>
      <c r="I7" t="s">
        <v>657</v>
      </c>
      <c r="J7" t="s">
        <v>657</v>
      </c>
      <c r="K7">
        <v>5</v>
      </c>
      <c r="L7">
        <v>5</v>
      </c>
      <c r="M7">
        <v>4</v>
      </c>
      <c r="N7">
        <v>0</v>
      </c>
      <c r="O7">
        <v>0</v>
      </c>
      <c r="P7">
        <v>0</v>
      </c>
    </row>
    <row r="8" spans="1:16" x14ac:dyDescent="0.25">
      <c r="A8" t="s">
        <v>633</v>
      </c>
      <c r="B8">
        <v>0</v>
      </c>
      <c r="C8">
        <v>0</v>
      </c>
      <c r="D8">
        <v>0</v>
      </c>
      <c r="E8">
        <v>5</v>
      </c>
      <c r="F8">
        <v>5</v>
      </c>
      <c r="G8">
        <v>5</v>
      </c>
      <c r="H8" t="s">
        <v>657</v>
      </c>
      <c r="I8" t="s">
        <v>657</v>
      </c>
      <c r="J8" t="s">
        <v>657</v>
      </c>
      <c r="K8">
        <v>5</v>
      </c>
      <c r="L8">
        <v>5</v>
      </c>
      <c r="M8">
        <v>4</v>
      </c>
      <c r="N8">
        <v>0</v>
      </c>
      <c r="O8">
        <v>0</v>
      </c>
      <c r="P8">
        <v>0</v>
      </c>
    </row>
    <row r="9" spans="1:16" x14ac:dyDescent="0.25">
      <c r="A9" t="s">
        <v>634</v>
      </c>
      <c r="B9">
        <v>0</v>
      </c>
      <c r="C9">
        <v>0</v>
      </c>
      <c r="D9">
        <v>0</v>
      </c>
      <c r="E9">
        <v>10</v>
      </c>
      <c r="F9">
        <v>5</v>
      </c>
      <c r="G9">
        <v>5</v>
      </c>
      <c r="H9" t="s">
        <v>657</v>
      </c>
      <c r="I9" t="s">
        <v>657</v>
      </c>
      <c r="J9" t="s">
        <v>657</v>
      </c>
      <c r="K9">
        <v>8</v>
      </c>
      <c r="L9">
        <v>8</v>
      </c>
      <c r="M9">
        <v>7</v>
      </c>
      <c r="N9">
        <v>0</v>
      </c>
      <c r="O9">
        <v>0</v>
      </c>
      <c r="P9">
        <v>0</v>
      </c>
    </row>
    <row r="10" spans="1:16" x14ac:dyDescent="0.25">
      <c r="A10" t="s">
        <v>635</v>
      </c>
      <c r="B10">
        <v>10</v>
      </c>
      <c r="C10">
        <v>10</v>
      </c>
      <c r="D10">
        <v>5</v>
      </c>
      <c r="E10">
        <v>10</v>
      </c>
      <c r="F10">
        <v>10</v>
      </c>
      <c r="G10">
        <v>5</v>
      </c>
      <c r="H10" t="s">
        <v>658</v>
      </c>
      <c r="I10" t="s">
        <v>658</v>
      </c>
      <c r="J10" t="s">
        <v>657</v>
      </c>
      <c r="K10">
        <v>7</v>
      </c>
      <c r="L10">
        <v>7</v>
      </c>
      <c r="M10">
        <v>4</v>
      </c>
      <c r="N10">
        <v>0</v>
      </c>
      <c r="O10">
        <v>0</v>
      </c>
      <c r="P10">
        <v>0</v>
      </c>
    </row>
    <row r="11" spans="1:16" x14ac:dyDescent="0.25">
      <c r="A11" t="s">
        <v>636</v>
      </c>
      <c r="B11">
        <v>20</v>
      </c>
      <c r="C11">
        <v>10</v>
      </c>
      <c r="D11">
        <v>5</v>
      </c>
      <c r="E11">
        <v>30</v>
      </c>
      <c r="F11">
        <v>10</v>
      </c>
      <c r="G11">
        <v>5</v>
      </c>
      <c r="H11" t="s">
        <v>658</v>
      </c>
      <c r="I11" t="s">
        <v>658</v>
      </c>
      <c r="J11" t="s">
        <v>657</v>
      </c>
      <c r="K11">
        <v>19</v>
      </c>
      <c r="L11">
        <v>11</v>
      </c>
      <c r="M11">
        <v>4</v>
      </c>
      <c r="N11">
        <v>35</v>
      </c>
      <c r="O11">
        <v>16</v>
      </c>
      <c r="P11">
        <v>0</v>
      </c>
    </row>
    <row r="12" spans="1:16" x14ac:dyDescent="0.25">
      <c r="A12" t="s">
        <v>637</v>
      </c>
      <c r="B12">
        <v>95</v>
      </c>
      <c r="C12">
        <v>30</v>
      </c>
      <c r="D12">
        <v>5</v>
      </c>
      <c r="E12" t="s">
        <v>665</v>
      </c>
      <c r="F12">
        <v>30</v>
      </c>
      <c r="G12">
        <v>5</v>
      </c>
      <c r="H12" t="s">
        <v>658</v>
      </c>
      <c r="I12" t="s">
        <v>658</v>
      </c>
      <c r="J12" t="s">
        <v>657</v>
      </c>
      <c r="K12">
        <v>35</v>
      </c>
      <c r="L12">
        <v>15</v>
      </c>
      <c r="M12">
        <v>4</v>
      </c>
      <c r="N12">
        <v>69</v>
      </c>
      <c r="O12">
        <v>14</v>
      </c>
      <c r="P12">
        <v>0</v>
      </c>
    </row>
    <row r="13" spans="1:16" x14ac:dyDescent="0.25">
      <c r="A13" t="s">
        <v>638</v>
      </c>
      <c r="B13">
        <v>95</v>
      </c>
      <c r="C13">
        <v>30</v>
      </c>
      <c r="D13">
        <v>5</v>
      </c>
      <c r="E13" t="s">
        <v>665</v>
      </c>
      <c r="F13">
        <v>30</v>
      </c>
      <c r="G13">
        <v>5</v>
      </c>
      <c r="H13" t="s">
        <v>658</v>
      </c>
      <c r="I13" t="s">
        <v>658</v>
      </c>
      <c r="J13" t="s">
        <v>657</v>
      </c>
      <c r="K13">
        <v>38</v>
      </c>
      <c r="L13">
        <v>21</v>
      </c>
      <c r="M13">
        <v>4</v>
      </c>
      <c r="N13">
        <v>43</v>
      </c>
      <c r="O13">
        <v>21</v>
      </c>
      <c r="P13">
        <v>0</v>
      </c>
    </row>
    <row r="14" spans="1:16" x14ac:dyDescent="0.25">
      <c r="A14" t="s">
        <v>639</v>
      </c>
      <c r="B14">
        <v>95</v>
      </c>
      <c r="C14">
        <v>30</v>
      </c>
      <c r="D14">
        <v>5</v>
      </c>
      <c r="E14" t="s">
        <v>665</v>
      </c>
      <c r="F14">
        <v>30</v>
      </c>
      <c r="G14">
        <v>5</v>
      </c>
      <c r="H14" t="s">
        <v>658</v>
      </c>
      <c r="I14" t="s">
        <v>658</v>
      </c>
      <c r="J14" t="s">
        <v>657</v>
      </c>
      <c r="K14">
        <v>39</v>
      </c>
      <c r="L14">
        <v>19</v>
      </c>
      <c r="M14">
        <v>4</v>
      </c>
      <c r="N14">
        <v>37</v>
      </c>
      <c r="O14">
        <v>18</v>
      </c>
      <c r="P14">
        <v>0</v>
      </c>
    </row>
    <row r="15" spans="1:16" x14ac:dyDescent="0.25">
      <c r="A15" t="s">
        <v>640</v>
      </c>
      <c r="B15">
        <v>95</v>
      </c>
      <c r="C15">
        <v>30</v>
      </c>
      <c r="D15">
        <v>5</v>
      </c>
      <c r="E15" t="s">
        <v>665</v>
      </c>
      <c r="F15">
        <v>30</v>
      </c>
      <c r="G15">
        <v>5</v>
      </c>
      <c r="H15" t="s">
        <v>658</v>
      </c>
      <c r="I15" t="s">
        <v>658</v>
      </c>
      <c r="J15" t="s">
        <v>657</v>
      </c>
      <c r="K15">
        <v>47</v>
      </c>
      <c r="L15">
        <v>23</v>
      </c>
      <c r="M15">
        <v>6</v>
      </c>
      <c r="N15">
        <v>43</v>
      </c>
      <c r="O15">
        <v>25</v>
      </c>
      <c r="P15">
        <v>0</v>
      </c>
    </row>
    <row r="16" spans="1:16" x14ac:dyDescent="0.25">
      <c r="A16" t="s">
        <v>641</v>
      </c>
      <c r="B16">
        <v>50</v>
      </c>
      <c r="C16">
        <v>10</v>
      </c>
      <c r="D16">
        <v>5</v>
      </c>
      <c r="E16" t="s">
        <v>666</v>
      </c>
      <c r="F16">
        <v>15</v>
      </c>
      <c r="G16">
        <v>5</v>
      </c>
      <c r="H16" t="s">
        <v>658</v>
      </c>
      <c r="I16" t="s">
        <v>658</v>
      </c>
      <c r="J16" t="s">
        <v>657</v>
      </c>
      <c r="K16">
        <v>57</v>
      </c>
      <c r="L16">
        <v>20</v>
      </c>
      <c r="M16">
        <v>6</v>
      </c>
      <c r="N16">
        <v>58</v>
      </c>
      <c r="O16">
        <v>21</v>
      </c>
      <c r="P16">
        <v>0</v>
      </c>
    </row>
    <row r="17" spans="1:16" x14ac:dyDescent="0.25">
      <c r="A17" t="s">
        <v>642</v>
      </c>
      <c r="B17">
        <v>95</v>
      </c>
      <c r="C17">
        <v>10</v>
      </c>
      <c r="D17">
        <v>5</v>
      </c>
      <c r="E17" t="s">
        <v>665</v>
      </c>
      <c r="F17">
        <v>15</v>
      </c>
      <c r="G17">
        <v>5</v>
      </c>
      <c r="H17" t="s">
        <v>658</v>
      </c>
      <c r="I17" t="s">
        <v>658</v>
      </c>
      <c r="J17" t="s">
        <v>657</v>
      </c>
      <c r="K17">
        <v>54</v>
      </c>
      <c r="L17">
        <v>19</v>
      </c>
      <c r="M17">
        <v>9</v>
      </c>
      <c r="N17">
        <v>48</v>
      </c>
      <c r="O17">
        <v>13</v>
      </c>
      <c r="P17">
        <v>0</v>
      </c>
    </row>
    <row r="18" spans="1:16" x14ac:dyDescent="0.25">
      <c r="A18" t="s">
        <v>643</v>
      </c>
      <c r="B18">
        <v>95</v>
      </c>
      <c r="C18">
        <v>10</v>
      </c>
      <c r="D18">
        <v>5</v>
      </c>
      <c r="E18" t="s">
        <v>665</v>
      </c>
      <c r="F18">
        <v>15</v>
      </c>
      <c r="G18">
        <v>5</v>
      </c>
      <c r="H18" t="s">
        <v>658</v>
      </c>
      <c r="I18" t="s">
        <v>658</v>
      </c>
      <c r="J18" t="s">
        <v>657</v>
      </c>
      <c r="K18">
        <v>34</v>
      </c>
      <c r="L18">
        <v>15</v>
      </c>
      <c r="M18">
        <v>6</v>
      </c>
      <c r="N18">
        <v>37</v>
      </c>
      <c r="O18">
        <v>8</v>
      </c>
      <c r="P18">
        <v>0</v>
      </c>
    </row>
    <row r="19" spans="1:16" x14ac:dyDescent="0.25">
      <c r="A19" t="s">
        <v>644</v>
      </c>
      <c r="B19">
        <v>95</v>
      </c>
      <c r="C19">
        <v>10</v>
      </c>
      <c r="D19">
        <v>5</v>
      </c>
      <c r="E19" t="s">
        <v>665</v>
      </c>
      <c r="F19">
        <v>15</v>
      </c>
      <c r="G19">
        <v>5</v>
      </c>
      <c r="H19" t="s">
        <v>658</v>
      </c>
      <c r="I19" t="s">
        <v>658</v>
      </c>
      <c r="J19" t="s">
        <v>657</v>
      </c>
      <c r="K19">
        <v>33</v>
      </c>
      <c r="L19">
        <v>12</v>
      </c>
      <c r="M19">
        <v>4</v>
      </c>
      <c r="N19">
        <v>37</v>
      </c>
      <c r="O19">
        <v>4</v>
      </c>
      <c r="P19">
        <v>0</v>
      </c>
    </row>
    <row r="20" spans="1:16" x14ac:dyDescent="0.25">
      <c r="A20" t="s">
        <v>645</v>
      </c>
      <c r="B20">
        <v>95</v>
      </c>
      <c r="C20">
        <v>10</v>
      </c>
      <c r="D20">
        <v>5</v>
      </c>
      <c r="E20" t="s">
        <v>665</v>
      </c>
      <c r="F20">
        <v>15</v>
      </c>
      <c r="G20">
        <v>5</v>
      </c>
      <c r="H20" t="s">
        <v>658</v>
      </c>
      <c r="I20" t="s">
        <v>658</v>
      </c>
      <c r="J20" t="s">
        <v>657</v>
      </c>
      <c r="K20">
        <v>44</v>
      </c>
      <c r="L20">
        <v>14</v>
      </c>
      <c r="M20">
        <v>4</v>
      </c>
      <c r="N20">
        <v>46</v>
      </c>
      <c r="O20">
        <v>5</v>
      </c>
      <c r="P20">
        <v>0</v>
      </c>
    </row>
    <row r="21" spans="1:16" x14ac:dyDescent="0.25">
      <c r="A21" t="s">
        <v>646</v>
      </c>
      <c r="B21">
        <v>30</v>
      </c>
      <c r="C21">
        <v>5</v>
      </c>
      <c r="D21">
        <v>5</v>
      </c>
      <c r="E21" t="s">
        <v>667</v>
      </c>
      <c r="F21">
        <v>5</v>
      </c>
      <c r="G21">
        <v>5</v>
      </c>
      <c r="H21" t="s">
        <v>658</v>
      </c>
      <c r="I21" t="s">
        <v>658</v>
      </c>
      <c r="J21" t="s">
        <v>657</v>
      </c>
      <c r="K21">
        <v>26</v>
      </c>
      <c r="L21">
        <v>7</v>
      </c>
      <c r="M21">
        <v>4</v>
      </c>
      <c r="N21">
        <v>62</v>
      </c>
      <c r="O21">
        <v>6</v>
      </c>
      <c r="P21">
        <v>0</v>
      </c>
    </row>
    <row r="22" spans="1:16" x14ac:dyDescent="0.25">
      <c r="A22" t="s">
        <v>647</v>
      </c>
      <c r="B22">
        <v>10</v>
      </c>
      <c r="C22">
        <v>5</v>
      </c>
      <c r="D22">
        <v>0</v>
      </c>
      <c r="E22">
        <v>30</v>
      </c>
      <c r="F22">
        <v>5</v>
      </c>
      <c r="G22">
        <v>5</v>
      </c>
      <c r="H22" t="s">
        <v>658</v>
      </c>
      <c r="I22" t="s">
        <v>657</v>
      </c>
      <c r="J22" t="s">
        <v>657</v>
      </c>
      <c r="K22">
        <v>21</v>
      </c>
      <c r="L22">
        <v>7</v>
      </c>
      <c r="M22">
        <v>4</v>
      </c>
      <c r="N22">
        <v>20</v>
      </c>
      <c r="O22">
        <v>0</v>
      </c>
      <c r="P22">
        <v>0</v>
      </c>
    </row>
    <row r="23" spans="1:16" x14ac:dyDescent="0.25">
      <c r="A23" t="s">
        <v>648</v>
      </c>
      <c r="B23">
        <v>10</v>
      </c>
      <c r="C23">
        <v>0</v>
      </c>
      <c r="D23">
        <v>0</v>
      </c>
      <c r="E23">
        <v>30</v>
      </c>
      <c r="F23">
        <v>5</v>
      </c>
      <c r="G23">
        <v>5</v>
      </c>
      <c r="H23" t="s">
        <v>658</v>
      </c>
      <c r="I23" t="s">
        <v>657</v>
      </c>
      <c r="J23" t="s">
        <v>657</v>
      </c>
      <c r="K23">
        <v>15</v>
      </c>
      <c r="L23">
        <v>7</v>
      </c>
      <c r="M23">
        <v>4</v>
      </c>
      <c r="N23">
        <v>12</v>
      </c>
      <c r="O23">
        <v>0</v>
      </c>
      <c r="P23">
        <v>0</v>
      </c>
    </row>
    <row r="24" spans="1:16" x14ac:dyDescent="0.25">
      <c r="A24" t="s">
        <v>649</v>
      </c>
      <c r="B24">
        <v>10</v>
      </c>
      <c r="C24">
        <v>0</v>
      </c>
      <c r="D24">
        <v>0</v>
      </c>
      <c r="E24">
        <v>20</v>
      </c>
      <c r="F24">
        <v>5</v>
      </c>
      <c r="G24">
        <v>5</v>
      </c>
      <c r="H24" t="s">
        <v>658</v>
      </c>
      <c r="I24" t="s">
        <v>657</v>
      </c>
      <c r="J24" t="s">
        <v>657</v>
      </c>
      <c r="K24">
        <v>17</v>
      </c>
      <c r="L24">
        <v>7</v>
      </c>
      <c r="M24">
        <v>4</v>
      </c>
      <c r="N24">
        <v>4</v>
      </c>
      <c r="O24">
        <v>0</v>
      </c>
      <c r="P24">
        <v>0</v>
      </c>
    </row>
    <row r="25" spans="1:16" x14ac:dyDescent="0.25">
      <c r="A25" t="s">
        <v>650</v>
      </c>
      <c r="B25">
        <v>10</v>
      </c>
      <c r="C25">
        <v>0</v>
      </c>
      <c r="D25">
        <v>0</v>
      </c>
      <c r="E25">
        <v>20</v>
      </c>
      <c r="F25">
        <v>5</v>
      </c>
      <c r="G25">
        <v>5</v>
      </c>
      <c r="H25" t="s">
        <v>658</v>
      </c>
      <c r="I25" t="s">
        <v>657</v>
      </c>
      <c r="J25" t="s">
        <v>657</v>
      </c>
      <c r="K25">
        <v>8</v>
      </c>
      <c r="L25">
        <v>9</v>
      </c>
      <c r="M25">
        <v>7</v>
      </c>
      <c r="N25">
        <v>4</v>
      </c>
      <c r="O25">
        <v>0</v>
      </c>
      <c r="P25">
        <v>0</v>
      </c>
    </row>
    <row r="26" spans="1:16" x14ac:dyDescent="0.25">
      <c r="A26" t="s">
        <v>651</v>
      </c>
      <c r="B26">
        <v>5</v>
      </c>
      <c r="C26">
        <v>0</v>
      </c>
      <c r="D26">
        <v>0</v>
      </c>
      <c r="E26">
        <v>10</v>
      </c>
      <c r="F26">
        <v>5</v>
      </c>
      <c r="G26">
        <v>5</v>
      </c>
      <c r="H26" t="s">
        <v>657</v>
      </c>
      <c r="I26" t="s">
        <v>657</v>
      </c>
      <c r="J26" t="s">
        <v>657</v>
      </c>
      <c r="K26">
        <v>5</v>
      </c>
      <c r="L26">
        <v>5</v>
      </c>
      <c r="M26">
        <v>4</v>
      </c>
      <c r="N26">
        <v>0</v>
      </c>
      <c r="O26">
        <v>0</v>
      </c>
      <c r="P26">
        <v>0</v>
      </c>
    </row>
    <row r="27" spans="1:16" x14ac:dyDescent="0.25">
      <c r="A27" t="s">
        <v>652</v>
      </c>
      <c r="B27">
        <v>5</v>
      </c>
      <c r="C27">
        <v>0</v>
      </c>
      <c r="D27">
        <v>0</v>
      </c>
      <c r="E27">
        <v>5</v>
      </c>
      <c r="F27">
        <v>5</v>
      </c>
      <c r="G27">
        <v>5</v>
      </c>
      <c r="H27" t="s">
        <v>657</v>
      </c>
      <c r="I27" t="s">
        <v>657</v>
      </c>
      <c r="J27" t="s">
        <v>657</v>
      </c>
      <c r="K27">
        <v>5</v>
      </c>
      <c r="L27">
        <v>5</v>
      </c>
      <c r="M27">
        <v>4</v>
      </c>
      <c r="N27">
        <v>0</v>
      </c>
      <c r="O27">
        <v>0</v>
      </c>
      <c r="P27">
        <v>0</v>
      </c>
    </row>
    <row r="28" spans="1:16" x14ac:dyDescent="0.25">
      <c r="A28" t="s">
        <v>659</v>
      </c>
      <c r="B28">
        <f>SUM(B4:B27)</f>
        <v>920</v>
      </c>
      <c r="C28">
        <f t="shared" ref="C28:P28" si="0">SUM(C4:C27)</f>
        <v>200</v>
      </c>
      <c r="D28">
        <f t="shared" si="0"/>
        <v>60</v>
      </c>
      <c r="E28" t="s">
        <v>668</v>
      </c>
      <c r="F28">
        <v>280</v>
      </c>
      <c r="G28">
        <v>120</v>
      </c>
      <c r="H28">
        <v>1600</v>
      </c>
      <c r="I28">
        <v>1200</v>
      </c>
      <c r="J28">
        <v>0</v>
      </c>
      <c r="K28">
        <f t="shared" si="0"/>
        <v>537</v>
      </c>
      <c r="L28">
        <f t="shared" si="0"/>
        <v>256</v>
      </c>
      <c r="M28">
        <f t="shared" si="0"/>
        <v>113</v>
      </c>
      <c r="N28">
        <f t="shared" si="0"/>
        <v>555</v>
      </c>
      <c r="O28">
        <f t="shared" si="0"/>
        <v>151</v>
      </c>
      <c r="P28">
        <f t="shared" si="0"/>
        <v>0</v>
      </c>
    </row>
    <row r="29" spans="1:16" x14ac:dyDescent="0.25">
      <c r="A29" t="s">
        <v>660</v>
      </c>
      <c r="B29" s="339">
        <f>((B28/100)*5+C28/100+D28/100)</f>
        <v>48.6</v>
      </c>
      <c r="C29" s="339"/>
      <c r="D29" s="339"/>
      <c r="E29" s="340" t="s">
        <v>669</v>
      </c>
      <c r="F29" s="339"/>
      <c r="G29" s="339"/>
      <c r="H29" s="335">
        <f>((H28/100)*5+I28/100+J28/100)</f>
        <v>92</v>
      </c>
      <c r="I29" s="335"/>
      <c r="J29" s="335"/>
      <c r="K29" s="339">
        <f>((K28/100)*5+L28/100+M28/100)</f>
        <v>30.54</v>
      </c>
      <c r="L29" s="339"/>
      <c r="M29" s="339"/>
      <c r="N29" s="339">
        <f>((N28/100)*5+O28/100+P28/100)</f>
        <v>29.26</v>
      </c>
      <c r="O29" s="339"/>
      <c r="P29" s="339"/>
    </row>
    <row r="30" spans="1:16" x14ac:dyDescent="0.25">
      <c r="A30" t="s">
        <v>661</v>
      </c>
      <c r="B30" s="335">
        <f>B29*52.14</f>
        <v>2534.0039999999999</v>
      </c>
      <c r="C30" s="335"/>
      <c r="D30" s="335"/>
      <c r="E30" s="337" t="s">
        <v>670</v>
      </c>
      <c r="F30" s="335"/>
      <c r="G30" s="335"/>
      <c r="H30" s="335">
        <f>H29*52.14</f>
        <v>4796.88</v>
      </c>
      <c r="I30" s="335"/>
      <c r="J30" s="335"/>
      <c r="K30" s="335">
        <f>K29*52.14</f>
        <v>1592.3555999999999</v>
      </c>
      <c r="L30" s="335"/>
      <c r="M30" s="335"/>
      <c r="N30" s="335">
        <f>N29*52.14</f>
        <v>1525.6164000000001</v>
      </c>
      <c r="O30" s="335"/>
      <c r="P30" s="335"/>
    </row>
  </sheetData>
  <mergeCells count="20">
    <mergeCell ref="N1:P1"/>
    <mergeCell ref="B2:D2"/>
    <mergeCell ref="E2:G2"/>
    <mergeCell ref="K2:M2"/>
    <mergeCell ref="N2:P2"/>
    <mergeCell ref="A1:A3"/>
    <mergeCell ref="B1:D1"/>
    <mergeCell ref="E1:G1"/>
    <mergeCell ref="H1:J2"/>
    <mergeCell ref="K1:M1"/>
    <mergeCell ref="N29:P29"/>
    <mergeCell ref="N30:P30"/>
    <mergeCell ref="E29:G29"/>
    <mergeCell ref="E30:G30"/>
    <mergeCell ref="B29:D29"/>
    <mergeCell ref="B30:D30"/>
    <mergeCell ref="H29:J29"/>
    <mergeCell ref="H30:J30"/>
    <mergeCell ref="K29:M29"/>
    <mergeCell ref="K30:M30"/>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DF03-1024-446A-874A-2C7C149158B1}">
  <sheetPr>
    <tabColor theme="8"/>
  </sheetPr>
  <dimension ref="A1:H13"/>
  <sheetViews>
    <sheetView view="pageLayout" zoomScaleNormal="130" zoomScaleSheetLayoutView="130" workbookViewId="0">
      <selection activeCell="C8" sqref="C8"/>
    </sheetView>
  </sheetViews>
  <sheetFormatPr defaultRowHeight="15" x14ac:dyDescent="0.25"/>
  <cols>
    <col min="3" max="3" width="17.28515625" customWidth="1"/>
    <col min="4" max="4" width="5.28515625" customWidth="1"/>
    <col min="5" max="5" width="17.28515625" customWidth="1"/>
    <col min="6" max="6" width="5.28515625" customWidth="1"/>
    <col min="7" max="7" width="17.28515625" customWidth="1"/>
    <col min="8" max="8" width="5.28515625" customWidth="1"/>
  </cols>
  <sheetData>
    <row r="1" spans="1:8" ht="15" customHeight="1" x14ac:dyDescent="0.25"/>
    <row r="2" spans="1:8" ht="15.75" customHeight="1" x14ac:dyDescent="0.25">
      <c r="A2" s="402" t="s">
        <v>331</v>
      </c>
      <c r="B2" s="403"/>
      <c r="C2" s="403"/>
      <c r="D2" s="403"/>
      <c r="E2" s="403"/>
      <c r="F2" s="403"/>
      <c r="G2" s="403"/>
      <c r="H2" s="404"/>
    </row>
    <row r="3" spans="1:8" ht="32.25" customHeight="1" x14ac:dyDescent="0.25">
      <c r="A3" s="395" t="s">
        <v>0</v>
      </c>
      <c r="B3" s="407"/>
      <c r="C3" s="402" t="s">
        <v>914</v>
      </c>
      <c r="D3" s="404"/>
      <c r="E3" s="402" t="s">
        <v>766</v>
      </c>
      <c r="F3" s="404"/>
      <c r="G3" s="402" t="s">
        <v>24</v>
      </c>
      <c r="H3" s="404"/>
    </row>
    <row r="4" spans="1:8" ht="17.45" customHeight="1" x14ac:dyDescent="0.25">
      <c r="A4" s="397"/>
      <c r="B4" s="408"/>
      <c r="C4" s="323" t="s">
        <v>1</v>
      </c>
      <c r="D4" s="39" t="s">
        <v>2</v>
      </c>
      <c r="E4" s="323" t="s">
        <v>1</v>
      </c>
      <c r="F4" s="39" t="s">
        <v>2</v>
      </c>
      <c r="G4" s="323" t="s">
        <v>1</v>
      </c>
      <c r="H4" s="39" t="s">
        <v>2</v>
      </c>
    </row>
    <row r="5" spans="1:8" ht="21.75" customHeight="1" x14ac:dyDescent="0.25">
      <c r="A5" s="413" t="s">
        <v>92</v>
      </c>
      <c r="B5" s="414"/>
      <c r="C5" s="415">
        <f>'6g. Service HW'!C6</f>
        <v>0</v>
      </c>
      <c r="D5" s="416"/>
      <c r="E5" s="417">
        <f>G5</f>
        <v>0</v>
      </c>
      <c r="F5" s="417"/>
      <c r="G5" s="411">
        <f>'6g. Service HW'!E6</f>
        <v>0</v>
      </c>
      <c r="H5" s="412"/>
    </row>
    <row r="6" spans="1:8" ht="22.5" x14ac:dyDescent="0.25">
      <c r="A6" s="399" t="s">
        <v>93</v>
      </c>
      <c r="B6" s="399"/>
      <c r="C6" s="183">
        <f>'6g. Service HW'!C6</f>
        <v>0</v>
      </c>
      <c r="D6" s="136" t="str">
        <f>'6g. Service HW'!D6</f>
        <v>kBtu/h</v>
      </c>
      <c r="E6" s="116"/>
      <c r="F6" s="136" t="s">
        <v>333</v>
      </c>
      <c r="G6" s="183">
        <f>'6g. Service HW'!E6</f>
        <v>0</v>
      </c>
      <c r="H6" s="136" t="str">
        <f>'6g. Service HW'!F6</f>
        <v>kBtu/h</v>
      </c>
    </row>
    <row r="7" spans="1:8" x14ac:dyDescent="0.25">
      <c r="A7" s="399" t="s">
        <v>94</v>
      </c>
      <c r="B7" s="399"/>
      <c r="C7" s="183">
        <f>'6g. Service HW'!C7</f>
        <v>0</v>
      </c>
      <c r="D7" s="136" t="str">
        <f>'6g. Service HW'!D7</f>
        <v>EF</v>
      </c>
      <c r="E7" s="324"/>
      <c r="F7" s="136" t="s">
        <v>338</v>
      </c>
      <c r="G7" s="183">
        <f>'6g. Service HW'!E7</f>
        <v>0</v>
      </c>
      <c r="H7" s="136" t="str">
        <f>'6g. Service HW'!F7</f>
        <v>Et</v>
      </c>
    </row>
    <row r="8" spans="1:8" x14ac:dyDescent="0.25">
      <c r="A8" s="399" t="s">
        <v>95</v>
      </c>
      <c r="B8" s="399"/>
      <c r="C8" s="183">
        <f>'6g. Service HW'!C8</f>
        <v>0</v>
      </c>
      <c r="D8" s="37" t="s">
        <v>96</v>
      </c>
      <c r="E8" s="116"/>
      <c r="F8" s="52" t="s">
        <v>96</v>
      </c>
      <c r="G8" s="183">
        <f>'6g. Service HW'!E8</f>
        <v>0</v>
      </c>
      <c r="H8" s="52" t="s">
        <v>96</v>
      </c>
    </row>
    <row r="9" spans="1:8" x14ac:dyDescent="0.25">
      <c r="A9" s="399" t="s">
        <v>97</v>
      </c>
      <c r="B9" s="399"/>
      <c r="C9" s="183">
        <f>'6g. Service HW'!C9</f>
        <v>0</v>
      </c>
      <c r="D9" s="37" t="s">
        <v>30</v>
      </c>
      <c r="E9" s="116"/>
      <c r="F9" s="52" t="s">
        <v>30</v>
      </c>
      <c r="G9" s="183">
        <f>'6g. Service HW'!E9</f>
        <v>0</v>
      </c>
      <c r="H9" s="52" t="s">
        <v>30</v>
      </c>
    </row>
    <row r="10" spans="1:8" ht="16.5" customHeight="1" x14ac:dyDescent="0.25">
      <c r="A10" s="399" t="s">
        <v>98</v>
      </c>
      <c r="B10" s="399"/>
      <c r="C10" s="183">
        <f>'6g. Service HW'!C10</f>
        <v>0</v>
      </c>
      <c r="D10" s="37" t="s">
        <v>99</v>
      </c>
      <c r="E10" s="116"/>
      <c r="F10" s="52" t="s">
        <v>99</v>
      </c>
      <c r="G10" s="183">
        <f>'6g. Service HW'!E10</f>
        <v>0</v>
      </c>
      <c r="H10" s="52" t="s">
        <v>99</v>
      </c>
    </row>
    <row r="11" spans="1:8" ht="21.75" customHeight="1" x14ac:dyDescent="0.25">
      <c r="A11" s="399" t="s">
        <v>100</v>
      </c>
      <c r="B11" s="399"/>
      <c r="C11" s="183">
        <f>'6g. Service HW'!C11</f>
        <v>0</v>
      </c>
      <c r="D11" s="37" t="s">
        <v>33</v>
      </c>
      <c r="E11" s="322"/>
      <c r="F11" s="52" t="s">
        <v>33</v>
      </c>
      <c r="G11" s="183">
        <f>'6g. Service HW'!E11</f>
        <v>0</v>
      </c>
      <c r="H11" s="52" t="s">
        <v>33</v>
      </c>
    </row>
    <row r="12" spans="1:8" ht="24" customHeight="1" x14ac:dyDescent="0.25">
      <c r="A12" s="399" t="s">
        <v>101</v>
      </c>
      <c r="B12" s="399"/>
      <c r="C12" s="183">
        <f>'6g. Service HW'!C12</f>
        <v>0</v>
      </c>
      <c r="D12" s="37" t="s">
        <v>16</v>
      </c>
      <c r="E12" s="322"/>
      <c r="F12" s="52" t="s">
        <v>16</v>
      </c>
      <c r="G12" s="183">
        <f>'6g. Service HW'!E12</f>
        <v>0</v>
      </c>
      <c r="H12" s="52" t="s">
        <v>16</v>
      </c>
    </row>
    <row r="13" spans="1:8" ht="24" customHeight="1" x14ac:dyDescent="0.25">
      <c r="A13" s="399" t="s">
        <v>102</v>
      </c>
      <c r="B13" s="399"/>
      <c r="C13" s="409">
        <f>'6g. Service HW'!C13</f>
        <v>0</v>
      </c>
      <c r="D13" s="410"/>
      <c r="E13" s="411"/>
      <c r="F13" s="412"/>
      <c r="G13" s="409">
        <f>'6g. Service HW'!E13</f>
        <v>0</v>
      </c>
      <c r="H13" s="410"/>
    </row>
  </sheetData>
  <mergeCells count="20">
    <mergeCell ref="A11:B11"/>
    <mergeCell ref="A2:H2"/>
    <mergeCell ref="A3:B4"/>
    <mergeCell ref="C3:D3"/>
    <mergeCell ref="E3:F3"/>
    <mergeCell ref="G3:H3"/>
    <mergeCell ref="A5:B5"/>
    <mergeCell ref="C5:D5"/>
    <mergeCell ref="E5:F5"/>
    <mergeCell ref="G5:H5"/>
    <mergeCell ref="A6:B6"/>
    <mergeCell ref="A7:B7"/>
    <mergeCell ref="A8:B8"/>
    <mergeCell ref="A9:B9"/>
    <mergeCell ref="A10:B10"/>
    <mergeCell ref="A12:B12"/>
    <mergeCell ref="A13:B13"/>
    <mergeCell ref="C13:D13"/>
    <mergeCell ref="E13:F13"/>
    <mergeCell ref="G13:H13"/>
  </mergeCells>
  <pageMargins left="0.7" right="0.7" top="0.75" bottom="0.75" header="0.3" footer="0.3"/>
  <pageSetup orientation="portrait" r:id="rId1"/>
  <headerFooter>
    <oddHeader>&amp;LNYC SCA&amp;CService How Water Heating Summary</oddHead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tabColor theme="8"/>
  </sheetPr>
  <dimension ref="A1:G47"/>
  <sheetViews>
    <sheetView view="pageLayout" zoomScale="80" zoomScaleNormal="100" zoomScaleSheetLayoutView="85" zoomScalePageLayoutView="80" workbookViewId="0">
      <selection sqref="A1:G1"/>
    </sheetView>
  </sheetViews>
  <sheetFormatPr defaultRowHeight="15" x14ac:dyDescent="0.25"/>
  <cols>
    <col min="1" max="1" width="20.7109375" customWidth="1"/>
    <col min="2" max="2" width="25.7109375" customWidth="1"/>
    <col min="3" max="3" width="6" customWidth="1"/>
    <col min="4" max="4" width="25.85546875" customWidth="1"/>
    <col min="5" max="5" width="5.85546875" customWidth="1"/>
    <col min="6" max="6" width="25.7109375" customWidth="1"/>
    <col min="7" max="7" width="6" customWidth="1"/>
  </cols>
  <sheetData>
    <row r="1" spans="1:7" ht="15.75" customHeight="1" x14ac:dyDescent="0.25">
      <c r="A1" s="429" t="s">
        <v>89</v>
      </c>
      <c r="B1" s="430"/>
      <c r="C1" s="430"/>
      <c r="D1" s="430"/>
      <c r="E1" s="430"/>
      <c r="F1" s="430"/>
      <c r="G1" s="431"/>
    </row>
    <row r="2" spans="1:7" ht="38.25" customHeight="1" x14ac:dyDescent="0.25">
      <c r="A2" s="432"/>
      <c r="B2" s="390" t="s">
        <v>926</v>
      </c>
      <c r="C2" s="390"/>
      <c r="D2" s="390" t="s">
        <v>801</v>
      </c>
      <c r="E2" s="390"/>
      <c r="F2" s="434" t="s">
        <v>375</v>
      </c>
      <c r="G2" s="435"/>
    </row>
    <row r="3" spans="1:7" ht="25.5" customHeight="1" x14ac:dyDescent="0.25">
      <c r="A3" s="433"/>
      <c r="B3" s="56" t="s">
        <v>430</v>
      </c>
      <c r="C3" s="37" t="s">
        <v>2</v>
      </c>
      <c r="D3" s="56" t="s">
        <v>430</v>
      </c>
      <c r="E3" s="37" t="s">
        <v>2</v>
      </c>
      <c r="F3" s="56" t="s">
        <v>430</v>
      </c>
      <c r="G3" s="37" t="s">
        <v>2</v>
      </c>
    </row>
    <row r="4" spans="1:7" x14ac:dyDescent="0.25">
      <c r="A4" s="175" t="s">
        <v>802</v>
      </c>
      <c r="B4" s="417"/>
      <c r="C4" s="417"/>
      <c r="D4" s="425"/>
      <c r="E4" s="426"/>
      <c r="F4" s="427"/>
      <c r="G4" s="428"/>
    </row>
    <row r="5" spans="1:7" ht="24" customHeight="1" x14ac:dyDescent="0.25">
      <c r="A5" s="37" t="s">
        <v>3</v>
      </c>
      <c r="B5" s="417"/>
      <c r="C5" s="417"/>
      <c r="D5" s="417"/>
      <c r="E5" s="417"/>
      <c r="F5" s="417"/>
      <c r="G5" s="417"/>
    </row>
    <row r="6" spans="1:7" ht="26.25" customHeight="1" x14ac:dyDescent="0.25">
      <c r="A6" s="37" t="s">
        <v>351</v>
      </c>
      <c r="B6" s="417"/>
      <c r="C6" s="417"/>
      <c r="D6" s="417"/>
      <c r="E6" s="417"/>
      <c r="F6" s="417"/>
      <c r="G6" s="417"/>
    </row>
    <row r="7" spans="1:7" ht="24.75" customHeight="1" x14ac:dyDescent="0.25">
      <c r="A7" s="37" t="s">
        <v>4</v>
      </c>
      <c r="B7" s="116"/>
      <c r="C7" s="116" t="s">
        <v>333</v>
      </c>
      <c r="D7" s="116"/>
      <c r="E7" s="116" t="s">
        <v>333</v>
      </c>
      <c r="F7" s="116"/>
      <c r="G7" s="116" t="s">
        <v>333</v>
      </c>
    </row>
    <row r="8" spans="1:7" ht="24" customHeight="1" x14ac:dyDescent="0.25">
      <c r="A8" s="37" t="s">
        <v>5</v>
      </c>
      <c r="B8" s="116"/>
      <c r="C8" s="116" t="s">
        <v>333</v>
      </c>
      <c r="D8" s="116"/>
      <c r="E8" s="116" t="s">
        <v>333</v>
      </c>
      <c r="F8" s="116"/>
      <c r="G8" s="116" t="s">
        <v>333</v>
      </c>
    </row>
    <row r="9" spans="1:7" ht="22.5" x14ac:dyDescent="0.25">
      <c r="A9" s="174" t="s">
        <v>354</v>
      </c>
      <c r="B9" s="193"/>
      <c r="C9" s="151" t="s">
        <v>357</v>
      </c>
      <c r="D9" s="193"/>
      <c r="E9" s="151" t="s">
        <v>357</v>
      </c>
      <c r="F9" s="116"/>
      <c r="G9" s="151" t="s">
        <v>357</v>
      </c>
    </row>
    <row r="10" spans="1:7" ht="24" customHeight="1" x14ac:dyDescent="0.25">
      <c r="A10" s="37" t="s">
        <v>352</v>
      </c>
      <c r="B10" s="116"/>
      <c r="C10" s="116" t="s">
        <v>362</v>
      </c>
      <c r="D10" s="116"/>
      <c r="E10" s="116" t="s">
        <v>362</v>
      </c>
      <c r="F10" s="116"/>
      <c r="G10" s="116" t="s">
        <v>362</v>
      </c>
    </row>
    <row r="11" spans="1:7" ht="24" customHeight="1" x14ac:dyDescent="0.25">
      <c r="A11" s="37" t="s">
        <v>6</v>
      </c>
      <c r="B11" s="116"/>
      <c r="C11" s="116" t="s">
        <v>333</v>
      </c>
      <c r="D11" s="116"/>
      <c r="E11" s="116" t="s">
        <v>333</v>
      </c>
      <c r="F11" s="116"/>
      <c r="G11" s="116" t="s">
        <v>333</v>
      </c>
    </row>
    <row r="12" spans="1:7" ht="25.5" customHeight="1" x14ac:dyDescent="0.25">
      <c r="A12" s="37" t="s">
        <v>7</v>
      </c>
      <c r="B12" s="116"/>
      <c r="C12" s="116" t="s">
        <v>333</v>
      </c>
      <c r="D12" s="116"/>
      <c r="E12" s="116" t="s">
        <v>333</v>
      </c>
      <c r="F12" s="116"/>
      <c r="G12" s="116" t="s">
        <v>333</v>
      </c>
    </row>
    <row r="13" spans="1:7" ht="15" customHeight="1" x14ac:dyDescent="0.25">
      <c r="A13" s="37" t="s">
        <v>8</v>
      </c>
      <c r="B13" s="116"/>
      <c r="C13" s="116" t="s">
        <v>337</v>
      </c>
      <c r="D13" s="116"/>
      <c r="E13" s="116" t="s">
        <v>337</v>
      </c>
      <c r="F13" s="116"/>
      <c r="G13" s="116" t="s">
        <v>337</v>
      </c>
    </row>
    <row r="14" spans="1:7" ht="14.45" customHeight="1" x14ac:dyDescent="0.25">
      <c r="A14" s="37" t="s">
        <v>9</v>
      </c>
      <c r="B14" s="423"/>
      <c r="C14" s="424"/>
      <c r="D14" s="423"/>
      <c r="E14" s="424"/>
      <c r="F14" s="417"/>
      <c r="G14" s="417"/>
    </row>
    <row r="15" spans="1:7" ht="12.75" customHeight="1" x14ac:dyDescent="0.25">
      <c r="A15" s="37" t="s">
        <v>10</v>
      </c>
      <c r="B15" s="116"/>
      <c r="C15" s="116" t="s">
        <v>11</v>
      </c>
      <c r="D15" s="116"/>
      <c r="E15" s="116" t="s">
        <v>11</v>
      </c>
      <c r="F15" s="116"/>
      <c r="G15" s="116" t="s">
        <v>11</v>
      </c>
    </row>
    <row r="16" spans="1:7" ht="14.25" customHeight="1" x14ac:dyDescent="0.25">
      <c r="A16" s="37" t="s">
        <v>12</v>
      </c>
      <c r="B16" s="116"/>
      <c r="C16" s="116" t="s">
        <v>11</v>
      </c>
      <c r="D16" s="116"/>
      <c r="E16" s="116" t="s">
        <v>11</v>
      </c>
      <c r="F16" s="116"/>
      <c r="G16" s="116" t="s">
        <v>11</v>
      </c>
    </row>
    <row r="17" spans="1:7" ht="22.5" x14ac:dyDescent="0.25">
      <c r="A17" s="37" t="s">
        <v>13</v>
      </c>
      <c r="B17" s="417"/>
      <c r="C17" s="417"/>
      <c r="D17" s="417"/>
      <c r="E17" s="417"/>
      <c r="F17" s="417"/>
      <c r="G17" s="417"/>
    </row>
    <row r="18" spans="1:7" x14ac:dyDescent="0.25">
      <c r="A18" s="390" t="s">
        <v>14</v>
      </c>
      <c r="B18" s="116"/>
      <c r="C18" s="116"/>
      <c r="D18" s="116"/>
      <c r="E18" s="116"/>
      <c r="F18" s="116"/>
      <c r="G18" s="116"/>
    </row>
    <row r="19" spans="1:7" x14ac:dyDescent="0.25">
      <c r="A19" s="390"/>
      <c r="B19" s="116"/>
      <c r="C19" s="116"/>
      <c r="D19" s="116"/>
      <c r="E19" s="116"/>
      <c r="F19" s="116"/>
      <c r="G19" s="116"/>
    </row>
    <row r="20" spans="1:7" x14ac:dyDescent="0.25">
      <c r="A20" s="390"/>
      <c r="B20" s="116"/>
      <c r="C20" s="116"/>
      <c r="D20" s="116"/>
      <c r="E20" s="116"/>
      <c r="F20" s="116"/>
      <c r="G20" s="116"/>
    </row>
    <row r="21" spans="1:7" ht="27.75" customHeight="1" x14ac:dyDescent="0.25">
      <c r="A21" s="37" t="s">
        <v>22</v>
      </c>
      <c r="B21" s="417"/>
      <c r="C21" s="417"/>
      <c r="D21" s="417"/>
      <c r="E21" s="417"/>
      <c r="F21" s="417"/>
      <c r="G21" s="417"/>
    </row>
    <row r="22" spans="1:7" ht="36" customHeight="1" x14ac:dyDescent="0.25">
      <c r="A22" s="37" t="s">
        <v>53</v>
      </c>
      <c r="B22" s="417"/>
      <c r="C22" s="417"/>
      <c r="D22" s="417"/>
      <c r="E22" s="417"/>
      <c r="F22" s="417"/>
      <c r="G22" s="417"/>
    </row>
    <row r="23" spans="1:7" x14ac:dyDescent="0.25">
      <c r="A23" s="37" t="s">
        <v>15</v>
      </c>
      <c r="B23" s="116"/>
      <c r="C23" s="152" t="s">
        <v>16</v>
      </c>
      <c r="D23" s="116"/>
      <c r="E23" s="152" t="s">
        <v>16</v>
      </c>
      <c r="F23" s="116"/>
      <c r="G23" s="152" t="s">
        <v>16</v>
      </c>
    </row>
    <row r="24" spans="1:7" x14ac:dyDescent="0.25">
      <c r="A24" s="37" t="s">
        <v>17</v>
      </c>
      <c r="B24" s="116"/>
      <c r="C24" s="152" t="s">
        <v>16</v>
      </c>
      <c r="D24" s="116"/>
      <c r="E24" s="152" t="s">
        <v>16</v>
      </c>
      <c r="F24" s="116"/>
      <c r="G24" s="152" t="s">
        <v>16</v>
      </c>
    </row>
    <row r="25" spans="1:7" x14ac:dyDescent="0.25">
      <c r="A25" s="37" t="s">
        <v>18</v>
      </c>
      <c r="B25" s="116"/>
      <c r="C25" s="152" t="s">
        <v>16</v>
      </c>
      <c r="D25" s="116"/>
      <c r="E25" s="152" t="s">
        <v>16</v>
      </c>
      <c r="F25" s="116"/>
      <c r="G25" s="152" t="s">
        <v>16</v>
      </c>
    </row>
    <row r="26" spans="1:7" x14ac:dyDescent="0.25">
      <c r="A26" s="37" t="s">
        <v>19</v>
      </c>
      <c r="B26" s="116"/>
      <c r="C26" s="152" t="s">
        <v>16</v>
      </c>
      <c r="D26" s="116"/>
      <c r="E26" s="152" t="s">
        <v>16</v>
      </c>
      <c r="F26" s="116"/>
      <c r="G26" s="152" t="s">
        <v>16</v>
      </c>
    </row>
    <row r="27" spans="1:7" x14ac:dyDescent="0.25">
      <c r="A27" s="41" t="s">
        <v>20</v>
      </c>
      <c r="B27" s="116"/>
      <c r="C27" s="152" t="s">
        <v>16</v>
      </c>
      <c r="D27" s="116"/>
      <c r="E27" s="152" t="s">
        <v>16</v>
      </c>
      <c r="F27" s="116"/>
      <c r="G27" s="152" t="s">
        <v>16</v>
      </c>
    </row>
    <row r="28" spans="1:7" x14ac:dyDescent="0.25">
      <c r="A28" s="194" t="s">
        <v>803</v>
      </c>
      <c r="B28" s="194" t="s">
        <v>11</v>
      </c>
      <c r="C28" s="194" t="s">
        <v>804</v>
      </c>
      <c r="D28" s="194" t="s">
        <v>11</v>
      </c>
      <c r="E28" s="194" t="s">
        <v>804</v>
      </c>
      <c r="F28" s="194"/>
      <c r="G28" s="194"/>
    </row>
    <row r="29" spans="1:7" x14ac:dyDescent="0.25">
      <c r="A29" s="176" t="s">
        <v>805</v>
      </c>
      <c r="B29" s="136"/>
      <c r="C29" s="136">
        <v>0.5</v>
      </c>
      <c r="D29" s="136"/>
      <c r="E29" s="136">
        <v>0.5</v>
      </c>
      <c r="F29" s="420"/>
      <c r="G29" s="420"/>
    </row>
    <row r="30" spans="1:7" x14ac:dyDescent="0.25">
      <c r="A30" s="176" t="s">
        <v>806</v>
      </c>
      <c r="B30" s="136"/>
      <c r="C30" s="136">
        <v>0.9</v>
      </c>
      <c r="D30" s="136"/>
      <c r="E30" s="136">
        <v>0.9</v>
      </c>
      <c r="F30" s="420"/>
      <c r="G30" s="420"/>
    </row>
    <row r="31" spans="1:7" ht="33" customHeight="1" x14ac:dyDescent="0.25">
      <c r="A31" s="176" t="s">
        <v>807</v>
      </c>
      <c r="B31" s="136"/>
      <c r="C31" s="136">
        <v>0.6</v>
      </c>
      <c r="D31" s="136"/>
      <c r="E31" s="136">
        <v>0.6</v>
      </c>
      <c r="F31" s="420" t="s">
        <v>858</v>
      </c>
      <c r="G31" s="420"/>
    </row>
    <row r="32" spans="1:7" x14ac:dyDescent="0.25">
      <c r="A32" s="195" t="s">
        <v>808</v>
      </c>
      <c r="B32" s="196"/>
      <c r="C32" s="196">
        <v>0.15</v>
      </c>
      <c r="D32" s="196"/>
      <c r="E32" s="196">
        <v>0.15</v>
      </c>
      <c r="F32" s="421"/>
      <c r="G32" s="421"/>
    </row>
    <row r="33" spans="1:7" x14ac:dyDescent="0.25">
      <c r="A33" s="204" t="s">
        <v>615</v>
      </c>
      <c r="B33" s="197"/>
      <c r="C33" s="197"/>
      <c r="D33" s="197"/>
      <c r="E33" s="197"/>
      <c r="F33" s="422"/>
      <c r="G33" s="422"/>
    </row>
    <row r="34" spans="1:7" x14ac:dyDescent="0.25">
      <c r="A34" s="52" t="s">
        <v>615</v>
      </c>
      <c r="B34" s="136"/>
      <c r="C34" s="136"/>
      <c r="D34" s="116"/>
      <c r="E34" s="116"/>
      <c r="F34" s="420"/>
      <c r="G34" s="420"/>
    </row>
    <row r="35" spans="1:7" x14ac:dyDescent="0.25">
      <c r="A35" s="194"/>
      <c r="B35" s="418"/>
      <c r="C35" s="418"/>
      <c r="D35" s="418"/>
      <c r="E35" s="418"/>
      <c r="F35" s="418"/>
      <c r="G35" s="418"/>
    </row>
    <row r="36" spans="1:7" x14ac:dyDescent="0.25">
      <c r="A36" s="395" t="s">
        <v>820</v>
      </c>
      <c r="B36" s="205"/>
      <c r="C36" s="205"/>
      <c r="D36" s="205"/>
      <c r="E36" s="206"/>
      <c r="F36" s="417"/>
      <c r="G36" s="417"/>
    </row>
    <row r="37" spans="1:7" x14ac:dyDescent="0.25">
      <c r="A37" s="419"/>
      <c r="B37" s="207"/>
      <c r="C37" s="207"/>
      <c r="D37" s="207"/>
      <c r="E37" s="208"/>
      <c r="F37" s="417"/>
      <c r="G37" s="417"/>
    </row>
    <row r="38" spans="1:7" x14ac:dyDescent="0.25">
      <c r="A38" s="419"/>
      <c r="B38" s="207"/>
      <c r="C38" s="207"/>
      <c r="D38" s="207"/>
      <c r="E38" s="208"/>
      <c r="F38" s="417"/>
      <c r="G38" s="417"/>
    </row>
    <row r="39" spans="1:7" x14ac:dyDescent="0.25">
      <c r="A39" s="419"/>
      <c r="B39" s="207"/>
      <c r="C39" s="207"/>
      <c r="D39" s="207"/>
      <c r="E39" s="208"/>
      <c r="F39" s="417"/>
      <c r="G39" s="417"/>
    </row>
    <row r="40" spans="1:7" x14ac:dyDescent="0.25">
      <c r="A40" s="419"/>
      <c r="B40" s="207"/>
      <c r="C40" s="207"/>
      <c r="D40" s="207"/>
      <c r="E40" s="208"/>
      <c r="F40" s="417"/>
      <c r="G40" s="417"/>
    </row>
    <row r="41" spans="1:7" x14ac:dyDescent="0.25">
      <c r="A41" s="419"/>
      <c r="B41" s="207"/>
      <c r="C41" s="207"/>
      <c r="D41" s="207"/>
      <c r="E41" s="208"/>
      <c r="F41" s="417"/>
      <c r="G41" s="417"/>
    </row>
    <row r="42" spans="1:7" x14ac:dyDescent="0.25">
      <c r="A42" s="419"/>
      <c r="B42" s="207"/>
      <c r="C42" s="207"/>
      <c r="D42" s="207"/>
      <c r="E42" s="208"/>
      <c r="F42" s="417"/>
      <c r="G42" s="417"/>
    </row>
    <row r="43" spans="1:7" x14ac:dyDescent="0.25">
      <c r="A43" s="419"/>
      <c r="B43" s="207"/>
      <c r="C43" s="207"/>
      <c r="D43" s="207"/>
      <c r="E43" s="208"/>
      <c r="F43" s="417"/>
      <c r="G43" s="417"/>
    </row>
    <row r="44" spans="1:7" x14ac:dyDescent="0.25">
      <c r="A44" s="419"/>
      <c r="B44" s="207"/>
      <c r="C44" s="207"/>
      <c r="D44" s="207"/>
      <c r="E44" s="208"/>
      <c r="F44" s="417"/>
      <c r="G44" s="417"/>
    </row>
    <row r="45" spans="1:7" x14ac:dyDescent="0.25">
      <c r="A45" s="419"/>
      <c r="B45" s="207"/>
      <c r="C45" s="207"/>
      <c r="D45" s="207"/>
      <c r="E45" s="208"/>
      <c r="F45" s="417"/>
      <c r="G45" s="417"/>
    </row>
    <row r="46" spans="1:7" x14ac:dyDescent="0.25">
      <c r="A46" s="419"/>
      <c r="B46" s="207"/>
      <c r="C46" s="207"/>
      <c r="D46" s="207"/>
      <c r="E46" s="208"/>
      <c r="F46" s="417"/>
      <c r="G46" s="417"/>
    </row>
    <row r="47" spans="1:7" x14ac:dyDescent="0.25">
      <c r="A47" s="397"/>
      <c r="B47" s="209"/>
      <c r="C47" s="209"/>
      <c r="D47" s="209"/>
      <c r="E47" s="210"/>
      <c r="F47" s="417"/>
      <c r="G47" s="417"/>
    </row>
  </sheetData>
  <dataConsolidate/>
  <mergeCells count="49">
    <mergeCell ref="B4:C4"/>
    <mergeCell ref="D4:E4"/>
    <mergeCell ref="F4:G4"/>
    <mergeCell ref="A1:G1"/>
    <mergeCell ref="A2:A3"/>
    <mergeCell ref="B2:C2"/>
    <mergeCell ref="D2:E2"/>
    <mergeCell ref="F2:G2"/>
    <mergeCell ref="B5:C5"/>
    <mergeCell ref="D5:E5"/>
    <mergeCell ref="F5:G5"/>
    <mergeCell ref="B6:C6"/>
    <mergeCell ref="D6:E6"/>
    <mergeCell ref="F6:G6"/>
    <mergeCell ref="B14:C14"/>
    <mergeCell ref="D14:E14"/>
    <mergeCell ref="F14:G14"/>
    <mergeCell ref="B17:C17"/>
    <mergeCell ref="D17:E17"/>
    <mergeCell ref="F17:G17"/>
    <mergeCell ref="F34:G34"/>
    <mergeCell ref="A18:A20"/>
    <mergeCell ref="B21:C21"/>
    <mergeCell ref="D21:E21"/>
    <mergeCell ref="F21:G21"/>
    <mergeCell ref="B22:C22"/>
    <mergeCell ref="D22:E22"/>
    <mergeCell ref="F22:G22"/>
    <mergeCell ref="F29:G29"/>
    <mergeCell ref="F30:G30"/>
    <mergeCell ref="F31:G31"/>
    <mergeCell ref="F32:G32"/>
    <mergeCell ref="F33:G33"/>
    <mergeCell ref="F46:G46"/>
    <mergeCell ref="B35:C35"/>
    <mergeCell ref="D35:E35"/>
    <mergeCell ref="F35:G35"/>
    <mergeCell ref="A36:A47"/>
    <mergeCell ref="F36:G36"/>
    <mergeCell ref="F37:G37"/>
    <mergeCell ref="F38:G38"/>
    <mergeCell ref="F39:G39"/>
    <mergeCell ref="F40:G40"/>
    <mergeCell ref="F47:G47"/>
    <mergeCell ref="F41:G41"/>
    <mergeCell ref="F42:G42"/>
    <mergeCell ref="F43:G43"/>
    <mergeCell ref="F44:G44"/>
    <mergeCell ref="F45:G45"/>
  </mergeCells>
  <dataValidations count="1">
    <dataValidation type="list" allowBlank="1" showInputMessage="1" showErrorMessage="1" sqref="B17:G17" xr:uid="{00000000-0002-0000-1200-000000000000}">
      <formula1>Yes_No</formula1>
    </dataValidation>
  </dataValidations>
  <pageMargins left="0.25" right="0.25" top="0.75" bottom="0.75" header="0.3" footer="0.3"/>
  <pageSetup scale="80" orientation="portrait" r:id="rId1"/>
  <headerFooter>
    <oddHeader>&amp;LNYC SCA&amp;C&amp;A</oddHeader>
    <oddFooter xml:space="preserve">&amp;R
</oddFooter>
  </headerFooter>
  <colBreaks count="1" manualBreakCount="1">
    <brk id="7"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200-000001000000}">
          <x14:formula1>
            <xm:f>GSG_List!$S$4:$S$8</xm:f>
          </x14:formula1>
          <xm:sqref>E13 G13 C13</xm:sqref>
        </x14:dataValidation>
        <x14:dataValidation type="list" allowBlank="1" showInputMessage="1" showErrorMessage="1" xr:uid="{00000000-0002-0000-1200-000002000000}">
          <x14:formula1>
            <xm:f>GSG_List!$P$1:$P$2</xm:f>
          </x14:formula1>
          <xm:sqref>E11:E12 G7:G8 G11:G12 E7:E8 C11:C12 C7:C8</xm:sqref>
        </x14:dataValidation>
        <x14:dataValidation type="list" allowBlank="1" showInputMessage="1" showErrorMessage="1" xr:uid="{00000000-0002-0000-1200-000003000000}">
          <x14:formula1>
            <xm:f>GSG_List!$R$4:$R$5</xm:f>
          </x14:formula1>
          <xm:sqref>G9 E9 C9</xm:sqref>
        </x14:dataValidation>
        <x14:dataValidation type="list" allowBlank="1" showInputMessage="1" showErrorMessage="1" promptTitle="ECB System Selection" prompt="Only select a system with ECB compliance path is selected." xr:uid="{00000000-0002-0000-1200-000004000000}">
          <x14:formula1>
            <xm:f>GSG_List!$A$43:$A$50</xm:f>
          </x14:formula1>
          <xm:sqref>D4:E4</xm:sqref>
        </x14:dataValidation>
        <x14:dataValidation type="list" allowBlank="1" showInputMessage="1" showErrorMessage="1" promptTitle="ECB System Selection" prompt="Only select a system with ECB compliance path is selected." xr:uid="{00000000-0002-0000-1200-000005000000}">
          <x14:formula1>
            <xm:f>Lists!$A$48:$A$58</xm:f>
          </x14:formula1>
          <xm:sqref>B4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tabColor theme="8"/>
  </sheetPr>
  <dimension ref="B2:H23"/>
  <sheetViews>
    <sheetView view="pageLayout" zoomScale="85" zoomScaleNormal="100" zoomScaleSheetLayoutView="100" zoomScalePageLayoutView="85" workbookViewId="0">
      <selection activeCell="K10" sqref="K10"/>
    </sheetView>
  </sheetViews>
  <sheetFormatPr defaultRowHeight="15" x14ac:dyDescent="0.25"/>
  <cols>
    <col min="1" max="1" width="3.28515625" customWidth="1"/>
    <col min="2" max="2" width="27.5703125" customWidth="1"/>
    <col min="3" max="3" width="24.5703125" customWidth="1"/>
    <col min="4" max="4" width="7.42578125" customWidth="1"/>
    <col min="5" max="5" width="23.85546875" customWidth="1"/>
    <col min="6" max="6" width="7.42578125" customWidth="1"/>
    <col min="7" max="7" width="21.28515625" customWidth="1"/>
    <col min="8" max="8" width="6.85546875" customWidth="1"/>
  </cols>
  <sheetData>
    <row r="2" spans="2:8" ht="17.25" customHeight="1" x14ac:dyDescent="0.25">
      <c r="B2" s="436" t="s">
        <v>377</v>
      </c>
      <c r="C2" s="437"/>
      <c r="D2" s="437"/>
      <c r="E2" s="437"/>
      <c r="F2" s="437"/>
      <c r="G2" s="437"/>
      <c r="H2" s="437"/>
    </row>
    <row r="3" spans="2:8" ht="26.25" customHeight="1" x14ac:dyDescent="0.25">
      <c r="B3" s="55" t="s">
        <v>0</v>
      </c>
      <c r="C3" s="390" t="s">
        <v>914</v>
      </c>
      <c r="D3" s="390"/>
      <c r="E3" s="390" t="s">
        <v>766</v>
      </c>
      <c r="F3" s="390"/>
      <c r="G3" s="390" t="s">
        <v>375</v>
      </c>
      <c r="H3" s="390"/>
    </row>
    <row r="4" spans="2:8" ht="31.5" customHeight="1" x14ac:dyDescent="0.25">
      <c r="B4" s="54"/>
      <c r="C4" s="39" t="s">
        <v>1</v>
      </c>
      <c r="D4" s="37" t="s">
        <v>2</v>
      </c>
      <c r="E4" s="39" t="s">
        <v>1</v>
      </c>
      <c r="F4" s="37" t="s">
        <v>2</v>
      </c>
      <c r="G4" s="56" t="s">
        <v>1</v>
      </c>
      <c r="H4" s="37" t="s">
        <v>2</v>
      </c>
    </row>
    <row r="5" spans="2:8" ht="33.75" customHeight="1" x14ac:dyDescent="0.25">
      <c r="B5" s="52" t="s">
        <v>46</v>
      </c>
      <c r="C5" s="400" t="str">
        <f>IF(ISBLANK('6l. HVAC Water-side HW&amp;Steam'!C5),"",'6l. HVAC Water-side HW&amp;Steam'!C5)</f>
        <v>Gas Fired, Hot Water</v>
      </c>
      <c r="D5" s="400"/>
      <c r="E5" s="417"/>
      <c r="F5" s="417"/>
      <c r="G5" s="400" t="str">
        <f>IF(ISBLANK('6l. HVAC Water-side HW&amp;Steam'!E5),"",'6l. HVAC Water-side HW&amp;Steam'!E5)</f>
        <v xml:space="preserve">Modulating Condensing w/ 30% propylene glycol solution in primary loop </v>
      </c>
      <c r="H5" s="400"/>
    </row>
    <row r="6" spans="2:8" x14ac:dyDescent="0.25">
      <c r="B6" s="37" t="s">
        <v>47</v>
      </c>
      <c r="C6" s="183" t="str">
        <f>IF(ISBLANK('6l. HVAC Water-side HW&amp;Steam'!C6),"",'6l. HVAC Water-side HW&amp;Steam'!C6)</f>
        <v/>
      </c>
      <c r="D6" s="183" t="str">
        <f>IF(ISBLANK('6l. HVAC Water-side HW&amp;Steam'!D6),"",'6l. HVAC Water-side HW&amp;Steam'!D6)</f>
        <v>kBTU</v>
      </c>
      <c r="E6" s="116"/>
      <c r="F6" s="116"/>
      <c r="G6" s="183" t="str">
        <f>IF(ISBLANK('6l. HVAC Water-side HW&amp;Steam'!E6),"",'6l. HVAC Water-side HW&amp;Steam'!E6)</f>
        <v/>
      </c>
      <c r="H6" s="183" t="str">
        <f>IF(ISBLANK('6l. HVAC Water-side HW&amp;Steam'!F6),"",'6l. HVAC Water-side HW&amp;Steam'!F6)</f>
        <v>kBTU</v>
      </c>
    </row>
    <row r="7" spans="2:8" ht="22.5" x14ac:dyDescent="0.25">
      <c r="B7" s="37" t="s">
        <v>48</v>
      </c>
      <c r="C7" s="183" t="str">
        <f>IF(ISBLANK('6l. HVAC Water-side HW&amp;Steam'!C7),"",'6l. HVAC Water-side HW&amp;Steam'!C7)</f>
        <v/>
      </c>
      <c r="D7" s="183" t="str">
        <f>IF(ISBLANK('6l. HVAC Water-side HW&amp;Steam'!D7),"",'6l. HVAC Water-side HW&amp;Steam'!D7)</f>
        <v/>
      </c>
      <c r="E7" s="116"/>
      <c r="F7" s="116"/>
      <c r="G7" s="183" t="str">
        <f>IF(ISBLANK('6l. HVAC Water-side HW&amp;Steam'!E7),"",'6l. HVAC Water-side HW&amp;Steam'!E7)</f>
        <v>93% (@RWT=120°F)
86% (@RWT=140°F)</v>
      </c>
      <c r="H7" s="183" t="str">
        <f>IF(ISBLANK('6l. HVAC Water-side HW&amp;Steam'!F7),"",'6l. HVAC Water-side HW&amp;Steam'!F7)</f>
        <v>%</v>
      </c>
    </row>
    <row r="8" spans="2:8" ht="36" customHeight="1" x14ac:dyDescent="0.25">
      <c r="B8" s="37" t="s">
        <v>49</v>
      </c>
      <c r="C8" s="183" t="str">
        <f>IF(ISBLANK('6l. HVAC Water-side HW&amp;Steam'!C8),"",'6l. HVAC Water-side HW&amp;Steam'!C8)</f>
        <v>SWT=180°F @ OAT≤20°F
SWT=150 °F @ OAT≥50°F</v>
      </c>
      <c r="D8" s="39" t="s">
        <v>30</v>
      </c>
      <c r="E8" s="116"/>
      <c r="F8" s="39" t="s">
        <v>30</v>
      </c>
      <c r="G8" s="183" t="str">
        <f>IF(ISBLANK('6l. HVAC Water-side HW&amp;Steam'!E8),"",'6l. HVAC Water-side HW&amp;Steam'!E8)</f>
        <v>RWT=140°F @ OAT≤20°F
RWT=120 °F @ OAT≥50°F</v>
      </c>
      <c r="H8" s="39" t="s">
        <v>30</v>
      </c>
    </row>
    <row r="9" spans="2:8" ht="21.75" customHeight="1" x14ac:dyDescent="0.25">
      <c r="B9" s="37" t="s">
        <v>50</v>
      </c>
      <c r="C9" s="183">
        <f>IF(ISBLANK('6l. HVAC Water-side HW&amp;Steam'!C9),"",'6l. HVAC Water-side HW&amp;Steam'!C9)</f>
        <v>50</v>
      </c>
      <c r="D9" s="39" t="s">
        <v>30</v>
      </c>
      <c r="E9" s="116"/>
      <c r="F9" s="39" t="s">
        <v>30</v>
      </c>
      <c r="G9" s="183">
        <f>IF(ISBLANK('6l. HVAC Water-side HW&amp;Steam'!E9),"",'6l. HVAC Water-side HW&amp;Steam'!E9)</f>
        <v>40</v>
      </c>
      <c r="H9" s="39" t="s">
        <v>30</v>
      </c>
    </row>
    <row r="10" spans="2:8" ht="24" customHeight="1" x14ac:dyDescent="0.25">
      <c r="B10" s="37" t="s">
        <v>51</v>
      </c>
      <c r="C10" s="400" t="str">
        <f>IF(ISBLANK('6l. HVAC Water-side HW&amp;Steam'!C10),"",'6l. HVAC Water-side HW&amp;Steam'!C10)</f>
        <v>Outdoor air – supply water temp reset</v>
      </c>
      <c r="D10" s="400"/>
      <c r="E10" s="417"/>
      <c r="F10" s="417"/>
      <c r="G10" s="400" t="str">
        <f>IF(ISBLANK('6l. HVAC Water-side HW&amp;Steam'!E10),"",'6l. HVAC Water-side HW&amp;Steam'!E10)</f>
        <v>Outdoor air – return water temp reset</v>
      </c>
      <c r="H10" s="400"/>
    </row>
    <row r="11" spans="2:8" ht="24" customHeight="1" x14ac:dyDescent="0.25">
      <c r="B11" s="37" t="s">
        <v>52</v>
      </c>
      <c r="C11" s="400" t="str">
        <f>IF(ISBLANK('6l. HVAC Water-side HW&amp;Steam'!C11),"",'6l. HVAC Water-side HW&amp;Steam'!C11)</f>
        <v/>
      </c>
      <c r="D11" s="400"/>
      <c r="E11" s="417"/>
      <c r="F11" s="417"/>
      <c r="G11" s="400" t="str">
        <f>IF(ISBLANK('6l. HVAC Water-side HW&amp;Steam'!E11),"",'6l. HVAC Water-side HW&amp;Steam'!E11)</f>
        <v>Primary Only</v>
      </c>
      <c r="H11" s="400"/>
    </row>
    <row r="12" spans="2:8" ht="36" customHeight="1" x14ac:dyDescent="0.25">
      <c r="B12" s="37" t="s">
        <v>378</v>
      </c>
      <c r="C12" s="400" t="str">
        <f>IF(ISBLANK('6l. HVAC Water-side HW&amp;Steam'!C12),"",'6l. HVAC Water-side HW&amp;Steam'!C12)</f>
        <v/>
      </c>
      <c r="D12" s="400"/>
      <c r="E12" s="116"/>
      <c r="F12" s="39" t="s">
        <v>33</v>
      </c>
      <c r="G12" s="183" t="str">
        <f>IF(ISBLANK('6l. HVAC Water-side HW&amp;Steam'!E12),"",'6l. HVAC Water-side HW&amp;Steam'!E12)</f>
        <v/>
      </c>
      <c r="H12" s="39" t="s">
        <v>33</v>
      </c>
    </row>
    <row r="13" spans="2:8" ht="24" customHeight="1" x14ac:dyDescent="0.25">
      <c r="B13" s="37" t="s">
        <v>379</v>
      </c>
      <c r="C13" s="183" t="str">
        <f>IF(ISBLANK('6l. HVAC Water-side HW&amp;Steam'!C13),"",'6l. HVAC Water-side HW&amp;Steam'!C13)</f>
        <v/>
      </c>
      <c r="D13" s="183" t="str">
        <f>IF(ISBLANK('6l. HVAC Water-side HW&amp;Steam'!D13),"",'6l. HVAC Water-side HW&amp;Steam'!D13)</f>
        <v/>
      </c>
      <c r="E13" s="116"/>
      <c r="F13" s="116"/>
      <c r="G13" s="183">
        <f>IF(ISBLANK('6l. HVAC Water-side HW&amp;Steam'!E13),"",'6l. HVAC Water-side HW&amp;Steam'!E13)</f>
        <v>19</v>
      </c>
      <c r="H13" s="183" t="str">
        <f>IF(ISBLANK('6l. HVAC Water-side HW&amp;Steam'!F13),"",'6l. HVAC Water-side HW&amp;Steam'!F13)</f>
        <v>W/GPM</v>
      </c>
    </row>
    <row r="14" spans="2:8" ht="15" customHeight="1" x14ac:dyDescent="0.25">
      <c r="B14" s="37" t="s">
        <v>380</v>
      </c>
      <c r="C14" s="183" t="str">
        <f>IF(ISBLANK('6l. HVAC Water-side HW&amp;Steam'!C14),"",'6l. HVAC Water-side HW&amp;Steam'!C14)</f>
        <v/>
      </c>
      <c r="D14" s="39" t="s">
        <v>34</v>
      </c>
      <c r="E14" s="116"/>
      <c r="F14" s="39" t="s">
        <v>34</v>
      </c>
      <c r="G14" s="183" t="str">
        <f>IF(ISBLANK('6l. HVAC Water-side HW&amp;Steam'!E14),"",'6l. HVAC Water-side HW&amp;Steam'!E14)</f>
        <v/>
      </c>
      <c r="H14" s="39" t="s">
        <v>34</v>
      </c>
    </row>
    <row r="15" spans="2:8" ht="24" customHeight="1" x14ac:dyDescent="0.25">
      <c r="B15" s="37" t="s">
        <v>381</v>
      </c>
      <c r="C15" s="400" t="str">
        <f>IF(ISBLANK('6l. HVAC Water-side HW&amp;Steam'!C15),"",'6l. HVAC Water-side HW&amp;Steam'!C15)</f>
        <v/>
      </c>
      <c r="D15" s="400"/>
      <c r="E15" s="417"/>
      <c r="F15" s="417"/>
      <c r="G15" s="400" t="str">
        <f>IF(ISBLANK('6l. HVAC Water-side HW&amp;Steam'!E15),"",'6l. HVAC Water-side HW&amp;Steam'!E15)</f>
        <v/>
      </c>
      <c r="H15" s="400"/>
    </row>
    <row r="16" spans="2:8" ht="24" customHeight="1" x14ac:dyDescent="0.25">
      <c r="B16" s="37" t="s">
        <v>382</v>
      </c>
      <c r="C16" s="183" t="str">
        <f>IF(ISBLANK('6l. HVAC Water-side HW&amp;Steam'!C16),"",'6l. HVAC Water-side HW&amp;Steam'!C16)</f>
        <v/>
      </c>
      <c r="D16" s="39" t="s">
        <v>33</v>
      </c>
      <c r="E16" s="116"/>
      <c r="F16" s="39" t="s">
        <v>33</v>
      </c>
      <c r="G16" s="183" t="str">
        <f>IF(ISBLANK('6l. HVAC Water-side HW&amp;Steam'!E16),"",'6l. HVAC Water-side HW&amp;Steam'!E16)</f>
        <v/>
      </c>
      <c r="H16" s="39" t="s">
        <v>33</v>
      </c>
    </row>
    <row r="17" spans="2:8" ht="24" customHeight="1" x14ac:dyDescent="0.25">
      <c r="B17" s="37" t="s">
        <v>383</v>
      </c>
      <c r="C17" s="183" t="str">
        <f>IF(ISBLANK('6l. HVAC Water-side HW&amp;Steam'!C17),"",'6l. HVAC Water-side HW&amp;Steam'!C17)</f>
        <v/>
      </c>
      <c r="D17" s="183" t="str">
        <f>IF(ISBLANK('6l. HVAC Water-side HW&amp;Steam'!D17),"",'6l. HVAC Water-side HW&amp;Steam'!D17)</f>
        <v/>
      </c>
      <c r="E17" s="116"/>
      <c r="F17" s="116"/>
      <c r="G17" s="183" t="str">
        <f>IF(ISBLANK('6l. HVAC Water-side HW&amp;Steam'!E17),"",'6l. HVAC Water-side HW&amp;Steam'!E17)</f>
        <v/>
      </c>
      <c r="H17" s="183" t="str">
        <f>IF(ISBLANK('6l. HVAC Water-side HW&amp;Steam'!F17),"",'6l. HVAC Water-side HW&amp;Steam'!F17)</f>
        <v/>
      </c>
    </row>
    <row r="18" spans="2:8" ht="15" customHeight="1" x14ac:dyDescent="0.25">
      <c r="B18" s="37" t="s">
        <v>384</v>
      </c>
      <c r="C18" s="183" t="str">
        <f>IF(ISBLANK('6l. HVAC Water-side HW&amp;Steam'!C18),"",'6l. HVAC Water-side HW&amp;Steam'!C18)</f>
        <v/>
      </c>
      <c r="D18" s="39" t="s">
        <v>34</v>
      </c>
      <c r="E18" s="116"/>
      <c r="F18" s="39" t="s">
        <v>34</v>
      </c>
      <c r="G18" s="183" t="str">
        <f>IF(ISBLANK('6l. HVAC Water-side HW&amp;Steam'!E18),"",'6l. HVAC Water-side HW&amp;Steam'!E18)</f>
        <v/>
      </c>
      <c r="H18" s="39" t="s">
        <v>34</v>
      </c>
    </row>
    <row r="19" spans="2:8" ht="23.25" customHeight="1" x14ac:dyDescent="0.25">
      <c r="B19" s="37" t="s">
        <v>385</v>
      </c>
      <c r="C19" s="400" t="str">
        <f>IF(ISBLANK('6l. HVAC Water-side HW&amp;Steam'!C19),"",'6l. HVAC Water-side HW&amp;Steam'!C19)</f>
        <v/>
      </c>
      <c r="D19" s="400"/>
      <c r="E19" s="417"/>
      <c r="F19" s="417"/>
      <c r="G19" s="400" t="str">
        <f>IF(ISBLANK('6l. HVAC Water-side HW&amp;Steam'!E19),"",'6l. HVAC Water-side HW&amp;Steam'!E19)</f>
        <v/>
      </c>
      <c r="H19" s="400"/>
    </row>
    <row r="20" spans="2:8" x14ac:dyDescent="0.25">
      <c r="B20" s="49" t="s">
        <v>353</v>
      </c>
      <c r="C20" s="183" t="str">
        <f>IF(ISBLANK('6l. HVAC Water-side HW&amp;Steam'!C20),"",'6l. HVAC Water-side HW&amp;Steam'!C20)</f>
        <v/>
      </c>
      <c r="D20" s="183" t="str">
        <f>IF(ISBLANK('6l. HVAC Water-side HW&amp;Steam'!D20),"",'6l. HVAC Water-side HW&amp;Steam'!D20)</f>
        <v/>
      </c>
      <c r="E20" s="113"/>
      <c r="F20" s="136"/>
      <c r="G20" s="183" t="str">
        <f>IF(ISBLANK('6l. HVAC Water-side HW&amp;Steam'!E20),"",'6l. HVAC Water-side HW&amp;Steam'!E20)</f>
        <v/>
      </c>
      <c r="H20" s="183" t="str">
        <f>IF(ISBLANK('6l. HVAC Water-side HW&amp;Steam'!F20),"",'6l. HVAC Water-side HW&amp;Steam'!F20)</f>
        <v/>
      </c>
    </row>
    <row r="21" spans="2:8" x14ac:dyDescent="0.25">
      <c r="B21" s="49" t="s">
        <v>353</v>
      </c>
      <c r="C21" s="183" t="str">
        <f>IF(ISBLANK('6l. HVAC Water-side HW&amp;Steam'!C21),"",'6l. HVAC Water-side HW&amp;Steam'!C21)</f>
        <v/>
      </c>
      <c r="D21" s="183" t="str">
        <f>IF(ISBLANK('6l. HVAC Water-side HW&amp;Steam'!D21),"",'6l. HVAC Water-side HW&amp;Steam'!D21)</f>
        <v/>
      </c>
      <c r="E21" s="113"/>
      <c r="F21" s="136"/>
      <c r="G21" s="183" t="str">
        <f>IF(ISBLANK('6l. HVAC Water-side HW&amp;Steam'!E21),"",'6l. HVAC Water-side HW&amp;Steam'!E21)</f>
        <v/>
      </c>
      <c r="H21" s="183" t="str">
        <f>IF(ISBLANK('6l. HVAC Water-side HW&amp;Steam'!F21),"",'6l. HVAC Water-side HW&amp;Steam'!F21)</f>
        <v/>
      </c>
    </row>
    <row r="22" spans="2:8" x14ac:dyDescent="0.25">
      <c r="B22" s="49" t="s">
        <v>353</v>
      </c>
      <c r="C22" s="183" t="str">
        <f>IF(ISBLANK('6l. HVAC Water-side HW&amp;Steam'!C22),"",'6l. HVAC Water-side HW&amp;Steam'!C22)</f>
        <v/>
      </c>
      <c r="D22" s="183" t="str">
        <f>IF(ISBLANK('6l. HVAC Water-side HW&amp;Steam'!D22),"",'6l. HVAC Water-side HW&amp;Steam'!D22)</f>
        <v/>
      </c>
      <c r="E22" s="113"/>
      <c r="F22" s="136"/>
      <c r="G22" s="183" t="str">
        <f>IF(ISBLANK('6l. HVAC Water-side HW&amp;Steam'!E22),"",'6l. HVAC Water-side HW&amp;Steam'!E22)</f>
        <v/>
      </c>
      <c r="H22" s="183" t="str">
        <f>IF(ISBLANK('6l. HVAC Water-side HW&amp;Steam'!F22),"",'6l. HVAC Water-side HW&amp;Steam'!F22)</f>
        <v/>
      </c>
    </row>
    <row r="23" spans="2:8" x14ac:dyDescent="0.25">
      <c r="B23" s="49" t="s">
        <v>353</v>
      </c>
      <c r="C23" s="183" t="str">
        <f>IF(ISBLANK('6l. HVAC Water-side HW&amp;Steam'!C23),"",'6l. HVAC Water-side HW&amp;Steam'!C23)</f>
        <v/>
      </c>
      <c r="D23" s="183" t="str">
        <f>IF(ISBLANK('6l. HVAC Water-side HW&amp;Steam'!D23),"",'6l. HVAC Water-side HW&amp;Steam'!D23)</f>
        <v/>
      </c>
      <c r="E23" s="113"/>
      <c r="F23" s="136"/>
      <c r="G23" s="183" t="str">
        <f>IF(ISBLANK('6l. HVAC Water-side HW&amp;Steam'!E23),"",'6l. HVAC Water-side HW&amp;Steam'!E23)</f>
        <v/>
      </c>
      <c r="H23" s="183" t="str">
        <f>IF(ISBLANK('6l. HVAC Water-side HW&amp;Steam'!F23),"",'6l. HVAC Water-side HW&amp;Steam'!F23)</f>
        <v/>
      </c>
    </row>
  </sheetData>
  <mergeCells count="20">
    <mergeCell ref="C12:D12"/>
    <mergeCell ref="C15:D15"/>
    <mergeCell ref="E15:F15"/>
    <mergeCell ref="G15:H15"/>
    <mergeCell ref="C19:D19"/>
    <mergeCell ref="E19:F19"/>
    <mergeCell ref="G19:H19"/>
    <mergeCell ref="C10:D10"/>
    <mergeCell ref="E10:F10"/>
    <mergeCell ref="G10:H10"/>
    <mergeCell ref="C11:D11"/>
    <mergeCell ref="E11:F11"/>
    <mergeCell ref="G11:H11"/>
    <mergeCell ref="B2:H2"/>
    <mergeCell ref="C3:D3"/>
    <mergeCell ref="E3:F3"/>
    <mergeCell ref="G3:H3"/>
    <mergeCell ref="C5:D5"/>
    <mergeCell ref="E5:F5"/>
    <mergeCell ref="G5:H5"/>
  </mergeCells>
  <pageMargins left="0.25" right="0.25" top="0.75" bottom="0.75" header="0.3" footer="0.3"/>
  <pageSetup scale="80" orientation="portrait" r:id="rId1"/>
  <headerFooter>
    <oddHeader>&amp;LNYC SCA&amp;C&amp;A</oddHeader>
    <oddFooter xml:space="preserve">&amp;R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theme="8"/>
  </sheetPr>
  <dimension ref="B2:F36"/>
  <sheetViews>
    <sheetView view="pageLayout" zoomScale="85" zoomScaleNormal="100" zoomScaleSheetLayoutView="115" zoomScalePageLayoutView="85" workbookViewId="0">
      <selection activeCell="K10" sqref="K10"/>
    </sheetView>
  </sheetViews>
  <sheetFormatPr defaultRowHeight="15" x14ac:dyDescent="0.25"/>
  <cols>
    <col min="1" max="1" width="3.28515625" customWidth="1"/>
    <col min="2" max="2" width="21.7109375" customWidth="1"/>
    <col min="3" max="3" width="31.5703125" customWidth="1"/>
    <col min="4" max="4" width="7.42578125" customWidth="1"/>
    <col min="5" max="5" width="27" customWidth="1"/>
    <col min="6" max="6" width="6.85546875" customWidth="1"/>
  </cols>
  <sheetData>
    <row r="2" spans="2:6" ht="17.25" customHeight="1" x14ac:dyDescent="0.25">
      <c r="B2" s="436" t="s">
        <v>91</v>
      </c>
      <c r="C2" s="437"/>
      <c r="D2" s="437"/>
      <c r="E2" s="437"/>
      <c r="F2" s="438"/>
    </row>
    <row r="3" spans="2:6" ht="26.25" customHeight="1" x14ac:dyDescent="0.25">
      <c r="B3" s="55" t="s">
        <v>0</v>
      </c>
      <c r="C3" s="390" t="s">
        <v>766</v>
      </c>
      <c r="D3" s="390"/>
      <c r="E3" s="390" t="s">
        <v>375</v>
      </c>
      <c r="F3" s="390"/>
    </row>
    <row r="4" spans="2:6" ht="31.5" customHeight="1" x14ac:dyDescent="0.25">
      <c r="B4" s="54"/>
      <c r="C4" s="39" t="s">
        <v>1</v>
      </c>
      <c r="D4" s="37" t="s">
        <v>2</v>
      </c>
      <c r="E4" s="56" t="s">
        <v>1</v>
      </c>
      <c r="F4" s="37" t="s">
        <v>2</v>
      </c>
    </row>
    <row r="5" spans="2:6" ht="33.75" customHeight="1" x14ac:dyDescent="0.25">
      <c r="B5" s="39" t="s">
        <v>373</v>
      </c>
      <c r="C5" s="417" t="s">
        <v>822</v>
      </c>
      <c r="D5" s="417"/>
      <c r="E5" s="400" t="str">
        <f>'6j. HVAC Water-side CHW  '!E5</f>
        <v>Air cooled w/ 30% propylene 
glycol solution in primary loop</v>
      </c>
      <c r="F5" s="400"/>
    </row>
    <row r="6" spans="2:6" ht="24" customHeight="1" x14ac:dyDescent="0.25">
      <c r="B6" s="37" t="s">
        <v>25</v>
      </c>
      <c r="C6" s="116"/>
      <c r="D6" s="116"/>
      <c r="E6" s="221">
        <f>'6j. HVAC Water-side CHW  '!E6</f>
        <v>0</v>
      </c>
      <c r="F6" s="183">
        <f>'6j. HVAC Water-side CHW  '!F6</f>
        <v>0</v>
      </c>
    </row>
    <row r="7" spans="2:6" ht="22.5" customHeight="1" x14ac:dyDescent="0.25">
      <c r="B7" s="37" t="s">
        <v>27</v>
      </c>
      <c r="C7" s="116"/>
      <c r="D7" s="116"/>
      <c r="E7" s="221">
        <f>'6j. HVAC Water-side CHW  '!E7</f>
        <v>1.2969999999999999</v>
      </c>
      <c r="F7" s="183" t="str">
        <f>'6j. HVAC Water-side CHW  '!F7</f>
        <v>kW/ton</v>
      </c>
    </row>
    <row r="8" spans="2:6" ht="36" customHeight="1" x14ac:dyDescent="0.25">
      <c r="B8" s="37" t="s">
        <v>28</v>
      </c>
      <c r="C8" s="116"/>
      <c r="D8" s="116"/>
      <c r="E8" s="221">
        <f>'6j. HVAC Water-side CHW  '!E8</f>
        <v>0.88400000000000001</v>
      </c>
      <c r="F8" s="183" t="str">
        <f>'6j. HVAC Water-side CHW  '!F8</f>
        <v>kW/ton</v>
      </c>
    </row>
    <row r="9" spans="2:6" ht="36" customHeight="1" x14ac:dyDescent="0.25">
      <c r="B9" s="37" t="s">
        <v>29</v>
      </c>
      <c r="C9" s="116"/>
      <c r="D9" s="39" t="s">
        <v>30</v>
      </c>
      <c r="E9" s="221">
        <f>'6j. HVAC Water-side CHW  '!E9</f>
        <v>44</v>
      </c>
      <c r="F9" s="39" t="s">
        <v>30</v>
      </c>
    </row>
    <row r="10" spans="2:6" ht="21.75" customHeight="1" x14ac:dyDescent="0.25">
      <c r="B10" s="37" t="s">
        <v>364</v>
      </c>
      <c r="C10" s="116"/>
      <c r="D10" s="39" t="s">
        <v>30</v>
      </c>
      <c r="E10" s="221">
        <f>'6j. HVAC Water-side CHW  '!E10</f>
        <v>12</v>
      </c>
      <c r="F10" s="39" t="s">
        <v>30</v>
      </c>
    </row>
    <row r="11" spans="2:6" ht="24" customHeight="1" x14ac:dyDescent="0.25">
      <c r="B11" s="37" t="s">
        <v>31</v>
      </c>
      <c r="C11" s="417"/>
      <c r="D11" s="417"/>
      <c r="E11" s="410" t="str">
        <f>'6j. HVAC Water-side CHW  '!E11</f>
        <v>Demand Reset</v>
      </c>
      <c r="F11" s="400"/>
    </row>
    <row r="12" spans="2:6" ht="24" customHeight="1" x14ac:dyDescent="0.25">
      <c r="B12" s="37" t="s">
        <v>32</v>
      </c>
      <c r="C12" s="417"/>
      <c r="D12" s="417"/>
      <c r="E12" s="410">
        <f>'6j. HVAC Water-side CHW  '!E12</f>
        <v>0</v>
      </c>
      <c r="F12" s="400"/>
    </row>
    <row r="13" spans="2:6" ht="36" customHeight="1" x14ac:dyDescent="0.25">
      <c r="B13" s="37" t="s">
        <v>365</v>
      </c>
      <c r="C13" s="116"/>
      <c r="D13" s="39" t="s">
        <v>33</v>
      </c>
      <c r="E13" s="221">
        <f>'6j. HVAC Water-side CHW  '!E13</f>
        <v>0</v>
      </c>
      <c r="F13" s="39" t="s">
        <v>33</v>
      </c>
    </row>
    <row r="14" spans="2:6" ht="24" customHeight="1" x14ac:dyDescent="0.25">
      <c r="B14" s="37" t="s">
        <v>366</v>
      </c>
      <c r="C14" s="116"/>
      <c r="D14" s="116"/>
      <c r="E14" s="221">
        <f>'6j. HVAC Water-side CHW  '!E14</f>
        <v>0</v>
      </c>
      <c r="F14" s="183">
        <f>'6j. HVAC Water-side CHW  '!F14</f>
        <v>0</v>
      </c>
    </row>
    <row r="15" spans="2:6" ht="24" customHeight="1" x14ac:dyDescent="0.25">
      <c r="B15" s="37" t="s">
        <v>367</v>
      </c>
      <c r="C15" s="116"/>
      <c r="D15" s="39" t="s">
        <v>34</v>
      </c>
      <c r="E15" s="221">
        <f>'6j. HVAC Water-side CHW  '!E15</f>
        <v>0</v>
      </c>
      <c r="F15" s="39" t="s">
        <v>34</v>
      </c>
    </row>
    <row r="16" spans="2:6" ht="22.5" customHeight="1" x14ac:dyDescent="0.25">
      <c r="B16" s="37" t="s">
        <v>368</v>
      </c>
      <c r="C16" s="417"/>
      <c r="D16" s="417"/>
      <c r="E16" s="410">
        <f>'6j. HVAC Water-side CHW  '!E16</f>
        <v>0</v>
      </c>
      <c r="F16" s="400"/>
    </row>
    <row r="17" spans="2:6" ht="21.75" customHeight="1" x14ac:dyDescent="0.25">
      <c r="B17" s="37" t="s">
        <v>369</v>
      </c>
      <c r="C17" s="116"/>
      <c r="D17" s="39" t="s">
        <v>33</v>
      </c>
      <c r="E17" s="221">
        <f>'6j. HVAC Water-side CHW  '!E17</f>
        <v>0</v>
      </c>
      <c r="F17" s="39" t="s">
        <v>33</v>
      </c>
    </row>
    <row r="18" spans="2:6" ht="24" customHeight="1" x14ac:dyDescent="0.25">
      <c r="B18" s="37" t="s">
        <v>370</v>
      </c>
      <c r="C18" s="116"/>
      <c r="D18" s="116"/>
      <c r="E18" s="221">
        <f>'6j. HVAC Water-side CHW  '!E18</f>
        <v>0</v>
      </c>
      <c r="F18" s="183">
        <f>'6j. HVAC Water-side CHW  '!F18</f>
        <v>0</v>
      </c>
    </row>
    <row r="19" spans="2:6" ht="15" customHeight="1" x14ac:dyDescent="0.25">
      <c r="B19" s="37" t="s">
        <v>371</v>
      </c>
      <c r="C19" s="116"/>
      <c r="D19" s="39" t="s">
        <v>34</v>
      </c>
      <c r="E19" s="221">
        <f>'6j. HVAC Water-side CHW  '!E19</f>
        <v>0</v>
      </c>
      <c r="F19" s="39" t="s">
        <v>34</v>
      </c>
    </row>
    <row r="20" spans="2:6" ht="15" customHeight="1" x14ac:dyDescent="0.25">
      <c r="B20" s="37" t="s">
        <v>372</v>
      </c>
      <c r="C20" s="417"/>
      <c r="D20" s="417"/>
      <c r="E20" s="410">
        <f>'6j. HVAC Water-side CHW  '!E20</f>
        <v>0</v>
      </c>
      <c r="F20" s="400"/>
    </row>
    <row r="21" spans="2:6" x14ac:dyDescent="0.25">
      <c r="B21" s="37" t="s">
        <v>35</v>
      </c>
      <c r="C21" s="116"/>
      <c r="D21" s="116"/>
      <c r="E21" s="211"/>
      <c r="F21" s="211"/>
    </row>
    <row r="22" spans="2:6" ht="24" customHeight="1" x14ac:dyDescent="0.25">
      <c r="B22" s="37" t="s">
        <v>36</v>
      </c>
      <c r="C22" s="116"/>
      <c r="D22" s="116"/>
      <c r="E22" s="211"/>
      <c r="F22" s="211"/>
    </row>
    <row r="23" spans="2:6" ht="22.5" x14ac:dyDescent="0.25">
      <c r="B23" s="52" t="s">
        <v>376</v>
      </c>
      <c r="C23" s="417"/>
      <c r="D23" s="417"/>
      <c r="E23" s="212"/>
      <c r="F23" s="212"/>
    </row>
    <row r="24" spans="2:6" x14ac:dyDescent="0.25">
      <c r="B24" s="37" t="s">
        <v>37</v>
      </c>
      <c r="C24" s="116"/>
      <c r="D24" s="116"/>
      <c r="E24" s="212"/>
      <c r="F24" s="212"/>
    </row>
    <row r="25" spans="2:6" x14ac:dyDescent="0.25">
      <c r="B25" s="37" t="s">
        <v>38</v>
      </c>
      <c r="C25" s="116"/>
      <c r="D25" s="116"/>
      <c r="E25" s="212"/>
      <c r="F25" s="212"/>
    </row>
    <row r="26" spans="2:6" ht="22.5" x14ac:dyDescent="0.25">
      <c r="B26" s="37" t="s">
        <v>39</v>
      </c>
      <c r="C26" s="116"/>
      <c r="D26" s="39" t="s">
        <v>30</v>
      </c>
      <c r="E26" s="212"/>
      <c r="F26" s="212"/>
    </row>
    <row r="27" spans="2:6" x14ac:dyDescent="0.25">
      <c r="B27" s="37" t="s">
        <v>40</v>
      </c>
      <c r="C27" s="116"/>
      <c r="D27" s="39" t="s">
        <v>30</v>
      </c>
      <c r="E27" s="213"/>
      <c r="F27" s="213"/>
    </row>
    <row r="28" spans="2:6" ht="22.5" x14ac:dyDescent="0.25">
      <c r="B28" s="37" t="s">
        <v>41</v>
      </c>
      <c r="C28" s="417"/>
      <c r="D28" s="417"/>
      <c r="E28" s="213"/>
      <c r="F28" s="213"/>
    </row>
    <row r="29" spans="2:6" x14ac:dyDescent="0.25">
      <c r="B29" s="37" t="s">
        <v>42</v>
      </c>
      <c r="C29" s="116"/>
      <c r="D29" s="39" t="s">
        <v>33</v>
      </c>
      <c r="E29" s="213"/>
      <c r="F29" s="213"/>
    </row>
    <row r="30" spans="2:6" x14ac:dyDescent="0.25">
      <c r="B30" s="37" t="s">
        <v>43</v>
      </c>
      <c r="C30" s="116"/>
      <c r="D30" s="116"/>
      <c r="E30" s="213"/>
      <c r="F30" s="213"/>
    </row>
    <row r="31" spans="2:6" x14ac:dyDescent="0.25">
      <c r="B31" s="37" t="s">
        <v>44</v>
      </c>
      <c r="C31" s="116"/>
      <c r="D31" s="39" t="s">
        <v>34</v>
      </c>
      <c r="E31" s="213"/>
      <c r="F31" s="213"/>
    </row>
    <row r="32" spans="2:6" x14ac:dyDescent="0.25">
      <c r="B32" s="37" t="s">
        <v>45</v>
      </c>
      <c r="C32" s="417"/>
      <c r="D32" s="417"/>
      <c r="E32" s="213"/>
      <c r="F32" s="213"/>
    </row>
    <row r="33" spans="2:6" x14ac:dyDescent="0.25">
      <c r="B33" s="49" t="s">
        <v>353</v>
      </c>
      <c r="C33" s="113"/>
      <c r="D33" s="136"/>
      <c r="E33" s="213"/>
      <c r="F33" s="213"/>
    </row>
    <row r="34" spans="2:6" x14ac:dyDescent="0.25">
      <c r="B34" s="49" t="s">
        <v>353</v>
      </c>
      <c r="C34" s="113"/>
      <c r="D34" s="136"/>
      <c r="E34" s="213"/>
      <c r="F34" s="213"/>
    </row>
    <row r="35" spans="2:6" x14ac:dyDescent="0.25">
      <c r="B35" s="49" t="s">
        <v>353</v>
      </c>
      <c r="C35" s="113"/>
      <c r="D35" s="136"/>
      <c r="E35" s="213"/>
      <c r="F35" s="213"/>
    </row>
    <row r="36" spans="2:6" x14ac:dyDescent="0.25">
      <c r="B36" s="49" t="s">
        <v>353</v>
      </c>
      <c r="C36" s="113"/>
      <c r="D36" s="136"/>
      <c r="E36" s="213"/>
      <c r="F36" s="213"/>
    </row>
  </sheetData>
  <mergeCells count="16">
    <mergeCell ref="C11:D11"/>
    <mergeCell ref="E11:F11"/>
    <mergeCell ref="B2:F2"/>
    <mergeCell ref="C3:D3"/>
    <mergeCell ref="E3:F3"/>
    <mergeCell ref="C5:D5"/>
    <mergeCell ref="E5:F5"/>
    <mergeCell ref="C23:D23"/>
    <mergeCell ref="C28:D28"/>
    <mergeCell ref="C32:D32"/>
    <mergeCell ref="C12:D12"/>
    <mergeCell ref="E12:F12"/>
    <mergeCell ref="C16:D16"/>
    <mergeCell ref="E16:F16"/>
    <mergeCell ref="C20:D20"/>
    <mergeCell ref="E20:F20"/>
  </mergeCells>
  <conditionalFormatting sqref="C7:D36">
    <cfRule type="expression" dxfId="132" priority="2" stopIfTrue="1">
      <formula>$C$5="0- Building area &lt; 150,0000"</formula>
    </cfRule>
  </conditionalFormatting>
  <conditionalFormatting sqref="C6:D36">
    <cfRule type="expression" dxfId="131" priority="1">
      <formula>LEFT($C$5,1)="0"</formula>
    </cfRule>
  </conditionalFormatting>
  <pageMargins left="0.25" right="0.25" top="0.75" bottom="0.75" header="0.3" footer="0.3"/>
  <pageSetup scale="80" orientation="portrait"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GSG_List!$A$114:$A$116</xm:f>
          </x14:formula1>
          <xm:sqref>C5:D5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tabColor theme="8"/>
  </sheetPr>
  <dimension ref="A1:F45"/>
  <sheetViews>
    <sheetView zoomScaleNormal="100" workbookViewId="0">
      <selection activeCell="C13" sqref="C13:D13"/>
    </sheetView>
  </sheetViews>
  <sheetFormatPr defaultRowHeight="15" x14ac:dyDescent="0.25"/>
  <cols>
    <col min="1" max="1" width="2.42578125" style="231" customWidth="1"/>
    <col min="2" max="2" width="9.140625" style="235" hidden="1" customWidth="1"/>
    <col min="3" max="3" width="54" style="235" customWidth="1"/>
    <col min="4" max="4" width="30.140625" style="236" customWidth="1"/>
    <col min="5" max="5" width="6.85546875" style="243" hidden="1" customWidth="1"/>
    <col min="6" max="6" width="2.7109375" style="231" hidden="1" customWidth="1"/>
  </cols>
  <sheetData>
    <row r="1" spans="2:4" ht="21" x14ac:dyDescent="0.35">
      <c r="C1" s="234" t="s">
        <v>875</v>
      </c>
    </row>
    <row r="2" spans="2:4" ht="15.75" thickBot="1" x14ac:dyDescent="0.3"/>
    <row r="3" spans="2:4" ht="15.75" thickBot="1" x14ac:dyDescent="0.3">
      <c r="B3" s="248" t="s">
        <v>876</v>
      </c>
      <c r="C3" s="248" t="s">
        <v>877</v>
      </c>
      <c r="D3" s="241" t="s">
        <v>936</v>
      </c>
    </row>
    <row r="4" spans="2:4" x14ac:dyDescent="0.25">
      <c r="C4" s="249" t="s">
        <v>935</v>
      </c>
      <c r="D4" s="242" t="s">
        <v>909</v>
      </c>
    </row>
    <row r="5" spans="2:4" ht="36.75" x14ac:dyDescent="0.25">
      <c r="C5" s="249" t="s">
        <v>939</v>
      </c>
      <c r="D5" s="237" t="s">
        <v>909</v>
      </c>
    </row>
    <row r="6" spans="2:4" ht="24.75" x14ac:dyDescent="0.25">
      <c r="C6" s="251" t="s">
        <v>940</v>
      </c>
      <c r="D6" s="238" t="s">
        <v>909</v>
      </c>
    </row>
    <row r="7" spans="2:4" ht="15.75" thickBot="1" x14ac:dyDescent="0.3">
      <c r="C7" s="246" t="s">
        <v>1021</v>
      </c>
      <c r="D7" s="239" t="s">
        <v>203</v>
      </c>
    </row>
    <row r="8" spans="2:4" ht="15.75" thickBot="1" x14ac:dyDescent="0.3">
      <c r="B8" s="250"/>
      <c r="C8" s="236"/>
    </row>
    <row r="9" spans="2:4" x14ac:dyDescent="0.25">
      <c r="B9" s="237" t="s">
        <v>909</v>
      </c>
      <c r="C9" s="441" t="s">
        <v>880</v>
      </c>
      <c r="D9" s="442"/>
    </row>
    <row r="10" spans="2:4" ht="68.25" customHeight="1" thickBot="1" x14ac:dyDescent="0.3">
      <c r="B10" s="237" t="s">
        <v>909</v>
      </c>
      <c r="C10" s="443"/>
      <c r="D10" s="444"/>
    </row>
    <row r="11" spans="2:4" ht="24.75" customHeight="1" x14ac:dyDescent="0.25">
      <c r="B11" s="237" t="s">
        <v>909</v>
      </c>
      <c r="C11" s="441" t="s">
        <v>881</v>
      </c>
      <c r="D11" s="442"/>
    </row>
    <row r="12" spans="2:4" ht="81.75" customHeight="1" thickBot="1" x14ac:dyDescent="0.3">
      <c r="B12" s="239" t="s">
        <v>909</v>
      </c>
      <c r="C12" s="445"/>
      <c r="D12" s="446"/>
    </row>
    <row r="13" spans="2:4" ht="24.75" customHeight="1" x14ac:dyDescent="0.25">
      <c r="C13" s="441" t="s">
        <v>1025</v>
      </c>
      <c r="D13" s="442"/>
    </row>
    <row r="14" spans="2:4" ht="81.75" customHeight="1" thickBot="1" x14ac:dyDescent="0.3">
      <c r="C14" s="439"/>
      <c r="D14" s="440"/>
    </row>
    <row r="15" spans="2:4" ht="4.5" customHeight="1" thickBot="1" x14ac:dyDescent="0.3">
      <c r="C15" s="236"/>
    </row>
    <row r="16" spans="2:4" ht="15.75" thickBot="1" x14ac:dyDescent="0.3">
      <c r="B16" s="232" t="s">
        <v>876</v>
      </c>
      <c r="C16" s="244" t="s">
        <v>933</v>
      </c>
      <c r="D16" s="241" t="s">
        <v>934</v>
      </c>
    </row>
    <row r="17" spans="2:6" ht="48.75" customHeight="1" x14ac:dyDescent="0.25">
      <c r="B17" s="237" t="str">
        <f>IF(E17&lt;4500, "Yes", "No")</f>
        <v>Yes</v>
      </c>
      <c r="C17" s="245" t="s">
        <v>947</v>
      </c>
      <c r="D17" s="238"/>
      <c r="E17" s="243">
        <f>IFERROR('SCA Usage Summary'!G14*1000/('SCA Ext LPD Process Equ'!E8),0)</f>
        <v>0</v>
      </c>
    </row>
    <row r="18" spans="2:6" ht="24.75" x14ac:dyDescent="0.25">
      <c r="B18" s="237" t="str">
        <f>IF('1,2,3 Information'!C29&lt;300, "Yes", "No")</f>
        <v>Yes</v>
      </c>
      <c r="C18" s="245" t="s">
        <v>929</v>
      </c>
      <c r="D18" s="238"/>
    </row>
    <row r="19" spans="2:6" ht="36.75" x14ac:dyDescent="0.25">
      <c r="B19" s="237" t="str">
        <f>IF(E19&lt;50, "Yes", "No")</f>
        <v>Yes</v>
      </c>
      <c r="C19" s="245" t="s">
        <v>945</v>
      </c>
      <c r="D19" s="238"/>
      <c r="E19" s="243">
        <f>ABS('1,2,3 Information'!C29-'1,2,3 Information'!C30)</f>
        <v>0</v>
      </c>
    </row>
    <row r="20" spans="2:6" ht="39" customHeight="1" x14ac:dyDescent="0.25">
      <c r="B20" s="237" t="str">
        <f>IF(AND(E20&lt;2500,E20&gt;1600),"Yes","No")</f>
        <v>No</v>
      </c>
      <c r="C20" s="245" t="str">
        <f>"The calculated lighting EFLH is "&amp;ROUND(E20,0)&amp;" hrs.  Between 1,600 and 2,500 is expected using the template schedules. Please correct or provide explanation."</f>
        <v>The calculated lighting EFLH is -1 hrs.  Between 1,600 and 2,500 is expected using the template schedules. Please correct or provide explanation.</v>
      </c>
      <c r="D20" s="238"/>
      <c r="E20" s="243">
        <f>IFERROR('SCA Usage Summary'!G6*1000/('SCA Interior Lighting Summary'!K29*'SCA Interior Lighting Summary'!B29),-1)</f>
        <v>-1</v>
      </c>
    </row>
    <row r="21" spans="2:6" ht="30.75" customHeight="1" x14ac:dyDescent="0.25">
      <c r="B21" s="237" t="str">
        <f>IF(AND(E21&gt;0.2, E21&lt;35), "Yes", "No")</f>
        <v>No</v>
      </c>
      <c r="C21" s="245" t="str">
        <f>"The Misc Equipment is "&amp;TEXT(E21,"00.0%")&amp;" of the total electricity.  It is expected to be between 20-35%.  Please correct or provide an explanation."</f>
        <v>The Misc Equipment is -100.0% of the total electricity.  It is expected to be between 20-35%.  Please correct or provide an explanation.</v>
      </c>
      <c r="D21" s="238"/>
      <c r="E21" s="247">
        <f>IFERROR(('SCA Usage Summary'!G7)/('SCA Usage Summary'!G16),-1)</f>
        <v>-1</v>
      </c>
    </row>
    <row r="22" spans="2:6" ht="24.75" x14ac:dyDescent="0.25">
      <c r="B22" s="237" t="str">
        <f>IF(('5. Usage Summary'!C7+'5. Usage Summary'!D7)=('5. Usage Summary'!F7+'5. Usage Summary'!G7), "Yes", "No")</f>
        <v>Yes</v>
      </c>
      <c r="C22" s="245" t="s">
        <v>944</v>
      </c>
      <c r="D22" s="238"/>
    </row>
    <row r="23" spans="2:6" ht="49.5" customHeight="1" x14ac:dyDescent="0.25">
      <c r="B23" s="237" t="str">
        <f>IF(F23=1, "Yes","No")</f>
        <v>No</v>
      </c>
      <c r="C23" s="245" t="str">
        <f>"The Domestic Hot Water is "&amp;TEXT(E23,"0.0%")&amp;" of the total heating fuel.  It is expected to be less than 10% for projects without kitchens and 10-20% for projects with kitchens.  Please correct or provide an explanation."</f>
        <v>The Domestic Hot Water is -100.0% of the total heating fuel.  It is expected to be less than 10% for projects without kitchens and 10-20% for projects with kitchens.  Please correct or provide an explanation.</v>
      </c>
      <c r="D23" s="238"/>
      <c r="E23" s="243">
        <f>IFERROR(('SCA Usage Summary'!G13+29.3*'SCA Usage Summary'!H13)/('SCA Usage Summary'!G8+'SCA Usage Summary'!G13+29.3*'SCA Usage Summary'!H16),-1)</f>
        <v>-1</v>
      </c>
      <c r="F23" s="233">
        <f>IF(OR(AND(E23&lt;0.2,D4="Yes"),AND(E23&lt;0.1,D4="No")),1,0)</f>
        <v>0</v>
      </c>
    </row>
    <row r="24" spans="2:6" ht="30" customHeight="1" x14ac:dyDescent="0.25">
      <c r="B24" s="237" t="str">
        <f>IF(AND(E24&lt;0.3,E24&lt;&gt;-1), "Yes", "No")</f>
        <v>No</v>
      </c>
      <c r="C24" s="245" t="str">
        <f>"The proposed Space Cooling is "&amp;TEXT(E24,"00.0%")&amp;" of the total electricity.  It is typically less than 30%.  Please correct or provide an explanation"</f>
        <v>The proposed Space Cooling is -100.0% of the total electricity.  It is typically less than 30%.  Please correct or provide an explanation</v>
      </c>
      <c r="D24" s="238"/>
      <c r="E24" s="243">
        <f>IFERROR('SCA Usage Summary'!G9/'SCA Usage Summary'!G16,-1)</f>
        <v>-1</v>
      </c>
    </row>
    <row r="25" spans="2:6" ht="26.25" customHeight="1" x14ac:dyDescent="0.25">
      <c r="B25" s="237" t="str">
        <f>IF(AND(E25&lt;0.3,E25&lt;&gt;-1), "Yes", "No")</f>
        <v>No</v>
      </c>
      <c r="C25" s="245" t="str">
        <f>"The proposed Vent Fans is "&amp;TEXT(E25,"00.0%")&amp;" of the total electricity.  It is typically less than 30%.  Please correct or provide an explanation."</f>
        <v>The proposed Vent Fans is -100.0% of the total electricity.  It is typically less than 30%.  Please correct or provide an explanation.</v>
      </c>
      <c r="D25" s="238"/>
      <c r="E25" s="243">
        <f>IFERROR('SCA Usage Summary'!G12/'SCA Usage Summary'!G16,-1)</f>
        <v>-1</v>
      </c>
    </row>
    <row r="26" spans="2:6" ht="37.5" thickBot="1" x14ac:dyDescent="0.3">
      <c r="B26" s="237" t="str">
        <f>IF('GSG Avg Rotations'!K11&gt;0,"No","Yes")</f>
        <v>Yes</v>
      </c>
      <c r="C26" s="246" t="s">
        <v>932</v>
      </c>
      <c r="D26" s="240"/>
    </row>
    <row r="27" spans="2:6" x14ac:dyDescent="0.25">
      <c r="C27" s="236"/>
    </row>
    <row r="28" spans="2:6" x14ac:dyDescent="0.25">
      <c r="C28" s="236"/>
    </row>
    <row r="29" spans="2:6" x14ac:dyDescent="0.25">
      <c r="C29" s="236"/>
    </row>
    <row r="30" spans="2:6" x14ac:dyDescent="0.25">
      <c r="C30" s="236"/>
    </row>
    <row r="31" spans="2:6" x14ac:dyDescent="0.25">
      <c r="C31" s="236"/>
    </row>
    <row r="32" spans="2:6" x14ac:dyDescent="0.25">
      <c r="C32" s="236"/>
    </row>
    <row r="33" spans="3:3" x14ac:dyDescent="0.25">
      <c r="C33" s="236"/>
    </row>
    <row r="34" spans="3:3" x14ac:dyDescent="0.25">
      <c r="C34" s="236"/>
    </row>
    <row r="35" spans="3:3" x14ac:dyDescent="0.25">
      <c r="C35" s="236"/>
    </row>
    <row r="36" spans="3:3" x14ac:dyDescent="0.25">
      <c r="C36" s="236"/>
    </row>
    <row r="37" spans="3:3" x14ac:dyDescent="0.25">
      <c r="C37" s="236"/>
    </row>
    <row r="38" spans="3:3" x14ac:dyDescent="0.25">
      <c r="C38" s="236"/>
    </row>
    <row r="39" spans="3:3" x14ac:dyDescent="0.25">
      <c r="C39" s="236"/>
    </row>
    <row r="40" spans="3:3" x14ac:dyDescent="0.25">
      <c r="C40" s="236"/>
    </row>
    <row r="41" spans="3:3" x14ac:dyDescent="0.25">
      <c r="C41" s="236"/>
    </row>
    <row r="42" spans="3:3" x14ac:dyDescent="0.25">
      <c r="C42" s="236"/>
    </row>
    <row r="43" spans="3:3" x14ac:dyDescent="0.25">
      <c r="C43" s="236"/>
    </row>
    <row r="44" spans="3:3" x14ac:dyDescent="0.25">
      <c r="C44" s="236"/>
    </row>
    <row r="45" spans="3:3" x14ac:dyDescent="0.25">
      <c r="C45" s="236"/>
    </row>
  </sheetData>
  <mergeCells count="6">
    <mergeCell ref="C14:D14"/>
    <mergeCell ref="C9:D9"/>
    <mergeCell ref="C10:D10"/>
    <mergeCell ref="C11:D11"/>
    <mergeCell ref="C12:D12"/>
    <mergeCell ref="C13:D13"/>
  </mergeCells>
  <conditionalFormatting sqref="B17:B22 B8:B15 D5 D7 B24:B25">
    <cfRule type="containsText" dxfId="130" priority="18" operator="containsText" text="Yes">
      <formula>NOT(ISERROR(SEARCH("Yes",B5)))</formula>
    </cfRule>
  </conditionalFormatting>
  <conditionalFormatting sqref="B17:B22 B8:B15 D5 D7 B24:B25">
    <cfRule type="containsText" dxfId="129" priority="16" operator="containsText" text="N/A">
      <formula>NOT(ISERROR(SEARCH("N/A",B5)))</formula>
    </cfRule>
    <cfRule type="containsText" dxfId="128" priority="17" operator="containsText" text="No">
      <formula>NOT(ISERROR(SEARCH("No",B5)))</formula>
    </cfRule>
  </conditionalFormatting>
  <conditionalFormatting sqref="D8 C17:D22 C24:D25">
    <cfRule type="expression" dxfId="127" priority="14">
      <formula>OR($B8="Yes",$B8="N/A")</formula>
    </cfRule>
  </conditionalFormatting>
  <conditionalFormatting sqref="B23">
    <cfRule type="containsText" dxfId="126" priority="8" operator="containsText" text="Yes">
      <formula>NOT(ISERROR(SEARCH("Yes",B23)))</formula>
    </cfRule>
  </conditionalFormatting>
  <conditionalFormatting sqref="B23">
    <cfRule type="containsText" dxfId="125" priority="6" operator="containsText" text="N/A">
      <formula>NOT(ISERROR(SEARCH("N/A",B23)))</formula>
    </cfRule>
    <cfRule type="containsText" dxfId="124" priority="7" operator="containsText" text="No">
      <formula>NOT(ISERROR(SEARCH("No",B23)))</formula>
    </cfRule>
  </conditionalFormatting>
  <conditionalFormatting sqref="C23:D23">
    <cfRule type="expression" dxfId="123" priority="5">
      <formula>OR($B23="Yes",$B23="N/A")</formula>
    </cfRule>
  </conditionalFormatting>
  <conditionalFormatting sqref="B26">
    <cfRule type="containsText" dxfId="122" priority="4" operator="containsText" text="Yes">
      <formula>NOT(ISERROR(SEARCH("Yes",B26)))</formula>
    </cfRule>
  </conditionalFormatting>
  <conditionalFormatting sqref="B26">
    <cfRule type="containsText" dxfId="121" priority="2" operator="containsText" text="N/A">
      <formula>NOT(ISERROR(SEARCH("N/A",B26)))</formula>
    </cfRule>
    <cfRule type="containsText" dxfId="120" priority="3" operator="containsText" text="No">
      <formula>NOT(ISERROR(SEARCH("No",B26)))</formula>
    </cfRule>
  </conditionalFormatting>
  <conditionalFormatting sqref="C26:D26">
    <cfRule type="expression" dxfId="119" priority="1">
      <formula>OR($B26="Yes",$B26="N/A")</formula>
    </cfRule>
  </conditionalFormatting>
  <dataValidations count="1">
    <dataValidation type="list" allowBlank="1" showInputMessage="1" showErrorMessage="1" sqref="D4:D7 B8:B14 B20:B26" xr:uid="{00000000-0002-0000-1500-000000000000}">
      <formula1>"Yes, No, N/A"</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3">
    <tabColor theme="8"/>
  </sheetPr>
  <dimension ref="A1:J79"/>
  <sheetViews>
    <sheetView view="pageBreakPreview" topLeftCell="A44" zoomScale="115" zoomScaleNormal="85" zoomScaleSheetLayoutView="115" zoomScalePageLayoutView="92" workbookViewId="0">
      <selection activeCell="B53" sqref="B53"/>
    </sheetView>
  </sheetViews>
  <sheetFormatPr defaultRowHeight="15" x14ac:dyDescent="0.25"/>
  <cols>
    <col min="1" max="1" width="2.42578125" style="231" customWidth="1"/>
    <col min="2" max="2" width="48" style="235" customWidth="1"/>
    <col min="3" max="3" width="6.28515625" style="235" customWidth="1"/>
    <col min="4" max="4" width="25.28515625" style="235" customWidth="1"/>
    <col min="5" max="5" width="10.85546875" style="236" customWidth="1"/>
    <col min="6" max="6" width="6.5703125" style="243" customWidth="1"/>
    <col min="7" max="7" width="2.7109375" style="231" customWidth="1"/>
  </cols>
  <sheetData>
    <row r="1" spans="2:5" ht="21" x14ac:dyDescent="0.35">
      <c r="B1" s="234" t="s">
        <v>941</v>
      </c>
    </row>
    <row r="3" spans="2:5" ht="4.5" customHeight="1" thickBot="1" x14ac:dyDescent="0.3">
      <c r="B3" s="236"/>
    </row>
    <row r="4" spans="2:5" ht="32.450000000000003" customHeight="1" thickBot="1" x14ac:dyDescent="0.3">
      <c r="B4" s="244" t="s">
        <v>878</v>
      </c>
      <c r="C4" s="254" t="s">
        <v>876</v>
      </c>
      <c r="D4" s="313" t="s">
        <v>934</v>
      </c>
      <c r="E4" s="319" t="s">
        <v>1022</v>
      </c>
    </row>
    <row r="5" spans="2:5" ht="20.25" customHeight="1" x14ac:dyDescent="0.25">
      <c r="B5" s="249" t="s">
        <v>911</v>
      </c>
      <c r="C5" s="255" t="s">
        <v>203</v>
      </c>
      <c r="D5" s="309"/>
      <c r="E5" s="315">
        <v>1</v>
      </c>
    </row>
    <row r="6" spans="2:5" ht="36.75" x14ac:dyDescent="0.25">
      <c r="B6" s="245" t="s">
        <v>910</v>
      </c>
      <c r="C6" s="255" t="s">
        <v>203</v>
      </c>
      <c r="D6" s="310"/>
      <c r="E6" s="316">
        <v>3</v>
      </c>
    </row>
    <row r="7" spans="2:5" ht="36.75" x14ac:dyDescent="0.25">
      <c r="B7" s="245" t="s">
        <v>928</v>
      </c>
      <c r="C7" s="255" t="s">
        <v>203</v>
      </c>
      <c r="D7" s="310"/>
      <c r="E7" s="316">
        <v>6</v>
      </c>
    </row>
    <row r="8" spans="2:5" ht="44.25" customHeight="1" x14ac:dyDescent="0.25">
      <c r="B8" s="245" t="s">
        <v>879</v>
      </c>
      <c r="C8" s="255" t="s">
        <v>203</v>
      </c>
      <c r="D8" s="310"/>
      <c r="E8" s="316">
        <v>9</v>
      </c>
    </row>
    <row r="9" spans="2:5" ht="27" customHeight="1" x14ac:dyDescent="0.25">
      <c r="B9" s="245" t="s">
        <v>942</v>
      </c>
      <c r="C9" s="255" t="s">
        <v>203</v>
      </c>
      <c r="D9" s="310"/>
      <c r="E9" s="316">
        <v>11</v>
      </c>
    </row>
    <row r="10" spans="2:5" ht="24.75" x14ac:dyDescent="0.25">
      <c r="B10" s="245" t="s">
        <v>912</v>
      </c>
      <c r="C10" s="255" t="s">
        <v>203</v>
      </c>
      <c r="D10" s="310"/>
      <c r="E10" s="316">
        <v>14</v>
      </c>
    </row>
    <row r="11" spans="2:5" ht="54" customHeight="1" thickBot="1" x14ac:dyDescent="0.3">
      <c r="B11" s="246" t="s">
        <v>967</v>
      </c>
      <c r="C11" s="256" t="s">
        <v>203</v>
      </c>
      <c r="D11" s="311"/>
      <c r="E11" s="317">
        <v>14</v>
      </c>
    </row>
    <row r="12" spans="2:5" hidden="1" x14ac:dyDescent="0.25">
      <c r="B12" s="236"/>
    </row>
    <row r="13" spans="2:5" ht="4.5" hidden="1" customHeight="1" thickBot="1" x14ac:dyDescent="0.3">
      <c r="B13" s="236"/>
    </row>
    <row r="14" spans="2:5" ht="30.75" customHeight="1" thickBot="1" x14ac:dyDescent="0.3">
      <c r="B14" s="244" t="s">
        <v>882</v>
      </c>
      <c r="C14" s="254" t="s">
        <v>876</v>
      </c>
      <c r="D14" s="313" t="s">
        <v>934</v>
      </c>
      <c r="E14" s="319" t="s">
        <v>1022</v>
      </c>
    </row>
    <row r="15" spans="2:5" ht="15.75" thickBot="1" x14ac:dyDescent="0.3">
      <c r="B15" s="257" t="s">
        <v>913</v>
      </c>
      <c r="C15" s="256" t="s">
        <v>203</v>
      </c>
      <c r="D15" s="312"/>
      <c r="E15" s="318">
        <v>1</v>
      </c>
    </row>
    <row r="16" spans="2:5" ht="9.75" hidden="1" customHeight="1" thickBot="1" x14ac:dyDescent="0.3">
      <c r="B16" s="236"/>
    </row>
    <row r="17" spans="2:5" ht="30.75" customHeight="1" thickBot="1" x14ac:dyDescent="0.3">
      <c r="B17" s="244" t="s">
        <v>883</v>
      </c>
      <c r="C17" s="254" t="s">
        <v>876</v>
      </c>
      <c r="D17" s="313" t="s">
        <v>934</v>
      </c>
      <c r="E17" s="319" t="s">
        <v>1022</v>
      </c>
    </row>
    <row r="18" spans="2:5" ht="48.75" x14ac:dyDescent="0.25">
      <c r="B18" s="249" t="s">
        <v>938</v>
      </c>
      <c r="C18" s="255" t="s">
        <v>203</v>
      </c>
      <c r="D18" s="309"/>
      <c r="E18" s="314">
        <v>1</v>
      </c>
    </row>
    <row r="19" spans="2:5" ht="25.5" thickBot="1" x14ac:dyDescent="0.3">
      <c r="B19" s="246" t="s">
        <v>884</v>
      </c>
      <c r="C19" s="256" t="s">
        <v>203</v>
      </c>
      <c r="D19" s="311"/>
      <c r="E19" s="320">
        <v>2</v>
      </c>
    </row>
    <row r="20" spans="2:5" ht="7.5" hidden="1" customHeight="1" thickBot="1" x14ac:dyDescent="0.3">
      <c r="B20" s="236"/>
    </row>
    <row r="21" spans="2:5" ht="27.75" customHeight="1" thickBot="1" x14ac:dyDescent="0.3">
      <c r="B21" s="244" t="s">
        <v>885</v>
      </c>
      <c r="C21" s="254" t="s">
        <v>876</v>
      </c>
      <c r="D21" s="313" t="s">
        <v>934</v>
      </c>
      <c r="E21" s="319" t="s">
        <v>1022</v>
      </c>
    </row>
    <row r="22" spans="2:5" ht="36.75" x14ac:dyDescent="0.25">
      <c r="B22" s="249" t="s">
        <v>886</v>
      </c>
      <c r="C22" s="255" t="s">
        <v>203</v>
      </c>
      <c r="D22" s="309"/>
      <c r="E22" s="314">
        <v>1</v>
      </c>
    </row>
    <row r="23" spans="2:5" ht="24.75" x14ac:dyDescent="0.25">
      <c r="B23" s="245" t="s">
        <v>887</v>
      </c>
      <c r="C23" s="255" t="s">
        <v>203</v>
      </c>
      <c r="D23" s="310"/>
      <c r="E23" s="321">
        <v>2</v>
      </c>
    </row>
    <row r="24" spans="2:5" ht="150.75" customHeight="1" x14ac:dyDescent="0.25">
      <c r="B24" s="245" t="s">
        <v>888</v>
      </c>
      <c r="C24" s="255" t="s">
        <v>203</v>
      </c>
      <c r="D24" s="310"/>
      <c r="E24" s="321">
        <v>3</v>
      </c>
    </row>
    <row r="25" spans="2:5" ht="85.5" thickBot="1" x14ac:dyDescent="0.3">
      <c r="B25" s="246" t="s">
        <v>889</v>
      </c>
      <c r="C25" s="256" t="s">
        <v>203</v>
      </c>
      <c r="D25" s="311"/>
      <c r="E25" s="320">
        <v>4</v>
      </c>
    </row>
    <row r="26" spans="2:5" ht="37.5" thickBot="1" x14ac:dyDescent="0.3">
      <c r="B26" s="257" t="s">
        <v>1026</v>
      </c>
      <c r="C26" s="325" t="s">
        <v>203</v>
      </c>
      <c r="D26" s="312"/>
      <c r="E26" s="318">
        <v>5</v>
      </c>
    </row>
    <row r="27" spans="2:5" ht="4.5" hidden="1" customHeight="1" thickBot="1" x14ac:dyDescent="0.3">
      <c r="B27" s="236"/>
    </row>
    <row r="28" spans="2:5" ht="31.5" customHeight="1" thickBot="1" x14ac:dyDescent="0.3">
      <c r="B28" s="244" t="s">
        <v>890</v>
      </c>
      <c r="C28" s="254" t="s">
        <v>876</v>
      </c>
      <c r="D28" s="313" t="s">
        <v>934</v>
      </c>
      <c r="E28" s="319" t="s">
        <v>1022</v>
      </c>
    </row>
    <row r="29" spans="2:5" ht="24.75" x14ac:dyDescent="0.25">
      <c r="B29" s="249" t="s">
        <v>891</v>
      </c>
      <c r="C29" s="255" t="s">
        <v>203</v>
      </c>
      <c r="D29" s="309"/>
      <c r="E29" s="314">
        <v>1</v>
      </c>
    </row>
    <row r="30" spans="2:5" ht="24.75" x14ac:dyDescent="0.25">
      <c r="B30" s="245" t="s">
        <v>930</v>
      </c>
      <c r="C30" s="255" t="s">
        <v>203</v>
      </c>
      <c r="D30" s="310"/>
      <c r="E30" s="321">
        <v>2</v>
      </c>
    </row>
    <row r="31" spans="2:5" ht="37.5" thickBot="1" x14ac:dyDescent="0.3">
      <c r="B31" s="246" t="s">
        <v>892</v>
      </c>
      <c r="C31" s="256" t="s">
        <v>203</v>
      </c>
      <c r="D31" s="311"/>
      <c r="E31" s="320">
        <v>3</v>
      </c>
    </row>
    <row r="32" spans="2:5" ht="6" hidden="1" customHeight="1" thickBot="1" x14ac:dyDescent="0.3">
      <c r="B32" s="246"/>
      <c r="C32" s="256"/>
      <c r="D32" s="311"/>
      <c r="E32" s="253"/>
    </row>
    <row r="33" spans="2:5" ht="28.5" customHeight="1" thickBot="1" x14ac:dyDescent="0.3">
      <c r="B33" s="244" t="s">
        <v>893</v>
      </c>
      <c r="C33" s="254" t="s">
        <v>876</v>
      </c>
      <c r="D33" s="313" t="s">
        <v>934</v>
      </c>
      <c r="E33" s="319" t="s">
        <v>1022</v>
      </c>
    </row>
    <row r="34" spans="2:5" ht="132.75" x14ac:dyDescent="0.25">
      <c r="B34" s="249" t="s">
        <v>927</v>
      </c>
      <c r="C34" s="255" t="s">
        <v>203</v>
      </c>
      <c r="D34" s="309"/>
      <c r="E34" s="314">
        <v>1</v>
      </c>
    </row>
    <row r="35" spans="2:5" ht="36.75" x14ac:dyDescent="0.25">
      <c r="B35" s="249" t="s">
        <v>894</v>
      </c>
      <c r="C35" s="255" t="s">
        <v>203</v>
      </c>
      <c r="D35" s="309"/>
      <c r="E35" s="314">
        <v>2</v>
      </c>
    </row>
    <row r="36" spans="2:5" ht="25.5" thickBot="1" x14ac:dyDescent="0.3">
      <c r="B36" s="246" t="s">
        <v>895</v>
      </c>
      <c r="C36" s="256" t="s">
        <v>203</v>
      </c>
      <c r="D36" s="311"/>
      <c r="E36" s="320">
        <v>3</v>
      </c>
    </row>
    <row r="37" spans="2:5" ht="5.25" hidden="1" customHeight="1" thickBot="1" x14ac:dyDescent="0.3">
      <c r="B37" s="236"/>
    </row>
    <row r="38" spans="2:5" ht="26.25" customHeight="1" thickBot="1" x14ac:dyDescent="0.3">
      <c r="B38" s="244" t="s">
        <v>896</v>
      </c>
      <c r="C38" s="254" t="s">
        <v>876</v>
      </c>
      <c r="D38" s="313" t="s">
        <v>934</v>
      </c>
      <c r="E38" s="319" t="s">
        <v>1022</v>
      </c>
    </row>
    <row r="39" spans="2:5" ht="30" customHeight="1" x14ac:dyDescent="0.25">
      <c r="B39" s="249" t="s">
        <v>908</v>
      </c>
      <c r="C39" s="255" t="s">
        <v>203</v>
      </c>
      <c r="D39" s="309"/>
      <c r="E39" s="314" t="s">
        <v>401</v>
      </c>
    </row>
    <row r="40" spans="2:5" ht="24.75" x14ac:dyDescent="0.25">
      <c r="B40" s="245" t="s">
        <v>924</v>
      </c>
      <c r="C40" s="255" t="s">
        <v>203</v>
      </c>
      <c r="D40" s="310"/>
      <c r="E40" s="321" t="s">
        <v>401</v>
      </c>
    </row>
    <row r="41" spans="2:5" ht="36.75" x14ac:dyDescent="0.25">
      <c r="B41" s="245" t="s">
        <v>897</v>
      </c>
      <c r="C41" s="255" t="s">
        <v>203</v>
      </c>
      <c r="D41" s="310"/>
      <c r="E41" s="321" t="s">
        <v>401</v>
      </c>
    </row>
    <row r="42" spans="2:5" ht="24.75" x14ac:dyDescent="0.25">
      <c r="B42" s="245" t="s">
        <v>898</v>
      </c>
      <c r="C42" s="255" t="s">
        <v>203</v>
      </c>
      <c r="D42" s="310"/>
      <c r="E42" s="321">
        <v>1</v>
      </c>
    </row>
    <row r="43" spans="2:5" ht="24.75" x14ac:dyDescent="0.25">
      <c r="B43" s="245" t="s">
        <v>899</v>
      </c>
      <c r="C43" s="255" t="s">
        <v>203</v>
      </c>
      <c r="D43" s="310"/>
      <c r="E43" s="321">
        <v>2</v>
      </c>
    </row>
    <row r="44" spans="2:5" ht="48.75" x14ac:dyDescent="0.25">
      <c r="B44" s="245" t="s">
        <v>900</v>
      </c>
      <c r="C44" s="255" t="s">
        <v>203</v>
      </c>
      <c r="D44" s="310"/>
      <c r="E44" s="321">
        <v>3</v>
      </c>
    </row>
    <row r="45" spans="2:5" ht="37.5" thickBot="1" x14ac:dyDescent="0.3">
      <c r="B45" s="246" t="s">
        <v>901</v>
      </c>
      <c r="C45" s="256" t="s">
        <v>203</v>
      </c>
      <c r="D45" s="311"/>
      <c r="E45" s="320">
        <v>4</v>
      </c>
    </row>
    <row r="46" spans="2:5" ht="61.5" thickBot="1" x14ac:dyDescent="0.3">
      <c r="B46" s="251" t="s">
        <v>1027</v>
      </c>
      <c r="C46" s="255" t="s">
        <v>203</v>
      </c>
      <c r="E46" s="326">
        <v>5</v>
      </c>
    </row>
    <row r="47" spans="2:5" ht="8.25" hidden="1" customHeight="1" thickBot="1" x14ac:dyDescent="0.3">
      <c r="B47" s="236"/>
    </row>
    <row r="48" spans="2:5" ht="33.75" customHeight="1" thickBot="1" x14ac:dyDescent="0.3">
      <c r="B48" s="244" t="s">
        <v>902</v>
      </c>
      <c r="C48" s="254" t="s">
        <v>876</v>
      </c>
      <c r="D48" s="313" t="s">
        <v>934</v>
      </c>
      <c r="E48" s="319" t="s">
        <v>1022</v>
      </c>
    </row>
    <row r="49" spans="2:10" ht="24.75" x14ac:dyDescent="0.25">
      <c r="B49" s="249" t="s">
        <v>931</v>
      </c>
      <c r="C49" s="255" t="s">
        <v>203</v>
      </c>
      <c r="D49" s="309"/>
      <c r="E49" s="314">
        <v>1</v>
      </c>
    </row>
    <row r="50" spans="2:10" ht="13.5" customHeight="1" x14ac:dyDescent="0.25">
      <c r="B50" s="245" t="s">
        <v>925</v>
      </c>
      <c r="C50" s="255" t="s">
        <v>203</v>
      </c>
      <c r="D50" s="310"/>
      <c r="E50" s="321">
        <v>2</v>
      </c>
    </row>
    <row r="51" spans="2:10" ht="65.25" customHeight="1" x14ac:dyDescent="0.25">
      <c r="B51" s="245" t="s">
        <v>937</v>
      </c>
      <c r="C51" s="255" t="s">
        <v>203</v>
      </c>
      <c r="D51" s="310"/>
      <c r="E51" s="321">
        <v>3</v>
      </c>
    </row>
    <row r="52" spans="2:10" ht="42.75" customHeight="1" thickBot="1" x14ac:dyDescent="0.3">
      <c r="B52" s="246" t="s">
        <v>903</v>
      </c>
      <c r="C52" s="256" t="s">
        <v>203</v>
      </c>
      <c r="D52" s="311"/>
      <c r="E52" s="320">
        <v>4</v>
      </c>
    </row>
    <row r="53" spans="2:10" ht="51.75" customHeight="1" thickBot="1" x14ac:dyDescent="0.3">
      <c r="B53" s="257" t="s">
        <v>1028</v>
      </c>
      <c r="C53" s="255" t="s">
        <v>203</v>
      </c>
      <c r="D53" s="312"/>
      <c r="E53" s="318">
        <v>5</v>
      </c>
    </row>
    <row r="54" spans="2:10" ht="30" hidden="1" customHeight="1" thickBot="1" x14ac:dyDescent="0.3">
      <c r="B54" s="244"/>
      <c r="C54" s="254"/>
      <c r="D54" s="308"/>
      <c r="E54" s="252"/>
    </row>
    <row r="55" spans="2:10" ht="27" customHeight="1" thickBot="1" x14ac:dyDescent="0.3">
      <c r="B55" s="244" t="s">
        <v>904</v>
      </c>
      <c r="C55" s="254" t="s">
        <v>876</v>
      </c>
      <c r="D55" s="313" t="s">
        <v>934</v>
      </c>
      <c r="E55" s="319" t="s">
        <v>1022</v>
      </c>
    </row>
    <row r="56" spans="2:10" ht="36.950000000000003" customHeight="1" x14ac:dyDescent="0.25">
      <c r="B56" s="249" t="s">
        <v>905</v>
      </c>
      <c r="C56" s="255" t="s">
        <v>203</v>
      </c>
      <c r="D56" s="309"/>
      <c r="E56" s="314">
        <v>2</v>
      </c>
    </row>
    <row r="57" spans="2:10" ht="108.75" x14ac:dyDescent="0.25">
      <c r="B57" s="245" t="s">
        <v>906</v>
      </c>
      <c r="C57" s="255" t="s">
        <v>203</v>
      </c>
      <c r="D57" s="310"/>
      <c r="E57" s="321">
        <v>3</v>
      </c>
      <c r="J57" t="s">
        <v>949</v>
      </c>
    </row>
    <row r="58" spans="2:10" ht="24.75" x14ac:dyDescent="0.25">
      <c r="B58" s="245" t="s">
        <v>1023</v>
      </c>
      <c r="C58" s="255" t="s">
        <v>203</v>
      </c>
      <c r="D58" s="310"/>
      <c r="E58" s="321">
        <v>4</v>
      </c>
    </row>
    <row r="59" spans="2:10" ht="49.5" thickBot="1" x14ac:dyDescent="0.3">
      <c r="B59" s="246" t="s">
        <v>907</v>
      </c>
      <c r="C59" s="256" t="s">
        <v>203</v>
      </c>
      <c r="D59" s="311"/>
      <c r="E59" s="320">
        <v>5</v>
      </c>
    </row>
    <row r="60" spans="2:10" x14ac:dyDescent="0.25">
      <c r="B60" s="236"/>
    </row>
    <row r="61" spans="2:10" x14ac:dyDescent="0.25">
      <c r="B61" s="236"/>
    </row>
    <row r="62" spans="2:10" x14ac:dyDescent="0.25">
      <c r="B62" s="236"/>
    </row>
    <row r="63" spans="2:10" x14ac:dyDescent="0.25">
      <c r="B63" s="236"/>
    </row>
    <row r="64" spans="2:10" x14ac:dyDescent="0.25">
      <c r="B64" s="236"/>
    </row>
    <row r="65" spans="2:2" x14ac:dyDescent="0.25">
      <c r="B65" s="236"/>
    </row>
    <row r="66" spans="2:2" x14ac:dyDescent="0.25">
      <c r="B66" s="236"/>
    </row>
    <row r="67" spans="2:2" x14ac:dyDescent="0.25">
      <c r="B67" s="236"/>
    </row>
    <row r="68" spans="2:2" x14ac:dyDescent="0.25">
      <c r="B68" s="236"/>
    </row>
    <row r="69" spans="2:2" x14ac:dyDescent="0.25">
      <c r="B69" s="236"/>
    </row>
    <row r="70" spans="2:2" x14ac:dyDescent="0.25">
      <c r="B70" s="236"/>
    </row>
    <row r="71" spans="2:2" x14ac:dyDescent="0.25">
      <c r="B71" s="236"/>
    </row>
    <row r="72" spans="2:2" x14ac:dyDescent="0.25">
      <c r="B72" s="236"/>
    </row>
    <row r="73" spans="2:2" x14ac:dyDescent="0.25">
      <c r="B73" s="236"/>
    </row>
    <row r="74" spans="2:2" x14ac:dyDescent="0.25">
      <c r="B74" s="236"/>
    </row>
    <row r="75" spans="2:2" x14ac:dyDescent="0.25">
      <c r="B75" s="236"/>
    </row>
    <row r="76" spans="2:2" x14ac:dyDescent="0.25">
      <c r="B76" s="236"/>
    </row>
    <row r="77" spans="2:2" x14ac:dyDescent="0.25">
      <c r="B77" s="236"/>
    </row>
    <row r="78" spans="2:2" x14ac:dyDescent="0.25">
      <c r="B78" s="236"/>
    </row>
    <row r="79" spans="2:2" x14ac:dyDescent="0.25">
      <c r="B79" s="236"/>
    </row>
  </sheetData>
  <conditionalFormatting sqref="C27:D27 C5:D9 C3:D3 C20:D20 C16:D16 C47:D47 C37:D37 C12:D13">
    <cfRule type="containsText" dxfId="118" priority="115" operator="containsText" text="Yes">
      <formula>NOT(ISERROR(SEARCH("Yes",C3)))</formula>
    </cfRule>
  </conditionalFormatting>
  <conditionalFormatting sqref="C27:D27 C5:D9 C3:D3 C20:D20 C16:D16 C47:D47 C37:D37 C12:D13">
    <cfRule type="containsText" dxfId="117" priority="113" operator="containsText" text="N/A">
      <formula>NOT(ISERROR(SEARCH("N/A",C3)))</formula>
    </cfRule>
    <cfRule type="containsText" dxfId="116" priority="114" operator="containsText" text="No">
      <formula>NOT(ISERROR(SEARCH("No",C3)))</formula>
    </cfRule>
  </conditionalFormatting>
  <conditionalFormatting sqref="C10:D10">
    <cfRule type="containsText" dxfId="115" priority="111" operator="containsText" text="Yes">
      <formula>NOT(ISERROR(SEARCH("Yes",C10)))</formula>
    </cfRule>
  </conditionalFormatting>
  <conditionalFormatting sqref="C10:D10">
    <cfRule type="containsText" dxfId="114" priority="109" operator="containsText" text="N/A">
      <formula>NOT(ISERROR(SEARCH("N/A",C10)))</formula>
    </cfRule>
    <cfRule type="containsText" dxfId="113" priority="110" operator="containsText" text="No">
      <formula>NOT(ISERROR(SEARCH("No",C10)))</formula>
    </cfRule>
  </conditionalFormatting>
  <conditionalFormatting sqref="E5:E10 E12">
    <cfRule type="expression" dxfId="112" priority="118">
      <formula>OR($C5="Yes",$C5="N/A")</formula>
    </cfRule>
  </conditionalFormatting>
  <conditionalFormatting sqref="C15:D15">
    <cfRule type="containsText" dxfId="111" priority="106" operator="containsText" text="Yes">
      <formula>NOT(ISERROR(SEARCH("Yes",C15)))</formula>
    </cfRule>
  </conditionalFormatting>
  <conditionalFormatting sqref="C15:D15">
    <cfRule type="containsText" dxfId="110" priority="104" operator="containsText" text="N/A">
      <formula>NOT(ISERROR(SEARCH("N/A",C15)))</formula>
    </cfRule>
    <cfRule type="containsText" dxfId="109" priority="105" operator="containsText" text="No">
      <formula>NOT(ISERROR(SEARCH("No",C15)))</formula>
    </cfRule>
  </conditionalFormatting>
  <conditionalFormatting sqref="E15">
    <cfRule type="expression" dxfId="108" priority="107">
      <formula>OR($C15="Yes",$C15="N/A")</formula>
    </cfRule>
  </conditionalFormatting>
  <conditionalFormatting sqref="C18:D18">
    <cfRule type="containsText" dxfId="107" priority="102" operator="containsText" text="Yes">
      <formula>NOT(ISERROR(SEARCH("Yes",C18)))</formula>
    </cfRule>
  </conditionalFormatting>
  <conditionalFormatting sqref="C18:D18">
    <cfRule type="containsText" dxfId="106" priority="100" operator="containsText" text="N/A">
      <formula>NOT(ISERROR(SEARCH("N/A",C18)))</formula>
    </cfRule>
    <cfRule type="containsText" dxfId="105" priority="101" operator="containsText" text="No">
      <formula>NOT(ISERROR(SEARCH("No",C18)))</formula>
    </cfRule>
  </conditionalFormatting>
  <conditionalFormatting sqref="E18">
    <cfRule type="expression" dxfId="104" priority="103">
      <formula>OR($C18="Yes",$C18="N/A")</formula>
    </cfRule>
  </conditionalFormatting>
  <conditionalFormatting sqref="C19:D19">
    <cfRule type="containsText" dxfId="103" priority="98" operator="containsText" text="Yes">
      <formula>NOT(ISERROR(SEARCH("Yes",C19)))</formula>
    </cfRule>
  </conditionalFormatting>
  <conditionalFormatting sqref="C19:D19">
    <cfRule type="containsText" dxfId="102" priority="96" operator="containsText" text="N/A">
      <formula>NOT(ISERROR(SEARCH("N/A",C19)))</formula>
    </cfRule>
    <cfRule type="containsText" dxfId="101" priority="97" operator="containsText" text="No">
      <formula>NOT(ISERROR(SEARCH("No",C19)))</formula>
    </cfRule>
  </conditionalFormatting>
  <conditionalFormatting sqref="E19">
    <cfRule type="expression" dxfId="100" priority="99">
      <formula>OR($C19="Yes",$C19="N/A")</formula>
    </cfRule>
  </conditionalFormatting>
  <conditionalFormatting sqref="C22:D22">
    <cfRule type="containsText" dxfId="99" priority="94" operator="containsText" text="Yes">
      <formula>NOT(ISERROR(SEARCH("Yes",C22)))</formula>
    </cfRule>
  </conditionalFormatting>
  <conditionalFormatting sqref="C22:D22">
    <cfRule type="containsText" dxfId="98" priority="92" operator="containsText" text="N/A">
      <formula>NOT(ISERROR(SEARCH("N/A",C22)))</formula>
    </cfRule>
    <cfRule type="containsText" dxfId="97" priority="93" operator="containsText" text="No">
      <formula>NOT(ISERROR(SEARCH("No",C22)))</formula>
    </cfRule>
  </conditionalFormatting>
  <conditionalFormatting sqref="E22">
    <cfRule type="expression" dxfId="96" priority="95">
      <formula>OR($C22="Yes",$C22="N/A")</formula>
    </cfRule>
  </conditionalFormatting>
  <conditionalFormatting sqref="C23:D24">
    <cfRule type="containsText" dxfId="95" priority="90" operator="containsText" text="Yes">
      <formula>NOT(ISERROR(SEARCH("Yes",C23)))</formula>
    </cfRule>
  </conditionalFormatting>
  <conditionalFormatting sqref="C23:D24">
    <cfRule type="containsText" dxfId="94" priority="88" operator="containsText" text="N/A">
      <formula>NOT(ISERROR(SEARCH("N/A",C23)))</formula>
    </cfRule>
    <cfRule type="containsText" dxfId="93" priority="89" operator="containsText" text="No">
      <formula>NOT(ISERROR(SEARCH("No",C23)))</formula>
    </cfRule>
  </conditionalFormatting>
  <conditionalFormatting sqref="E23:E24">
    <cfRule type="expression" dxfId="92" priority="91">
      <formula>OR($C23="Yes",$C23="N/A")</formula>
    </cfRule>
  </conditionalFormatting>
  <conditionalFormatting sqref="C25:D25">
    <cfRule type="containsText" dxfId="91" priority="86" operator="containsText" text="Yes">
      <formula>NOT(ISERROR(SEARCH("Yes",C25)))</formula>
    </cfRule>
  </conditionalFormatting>
  <conditionalFormatting sqref="C25:D25">
    <cfRule type="containsText" dxfId="90" priority="84" operator="containsText" text="N/A">
      <formula>NOT(ISERROR(SEARCH("N/A",C25)))</formula>
    </cfRule>
    <cfRule type="containsText" dxfId="89" priority="85" operator="containsText" text="No">
      <formula>NOT(ISERROR(SEARCH("No",C25)))</formula>
    </cfRule>
  </conditionalFormatting>
  <conditionalFormatting sqref="E25">
    <cfRule type="expression" dxfId="88" priority="87">
      <formula>OR($C25="Yes",$C25="N/A")</formula>
    </cfRule>
  </conditionalFormatting>
  <conditionalFormatting sqref="C32:D32">
    <cfRule type="containsText" dxfId="87" priority="82" operator="containsText" text="Yes">
      <formula>NOT(ISERROR(SEARCH("Yes",C32)))</formula>
    </cfRule>
  </conditionalFormatting>
  <conditionalFormatting sqref="C32:D32">
    <cfRule type="containsText" dxfId="86" priority="80" operator="containsText" text="N/A">
      <formula>NOT(ISERROR(SEARCH("N/A",C32)))</formula>
    </cfRule>
    <cfRule type="containsText" dxfId="85" priority="81" operator="containsText" text="No">
      <formula>NOT(ISERROR(SEARCH("No",C32)))</formula>
    </cfRule>
  </conditionalFormatting>
  <conditionalFormatting sqref="E32">
    <cfRule type="expression" dxfId="84" priority="83">
      <formula>OR($C32="Yes",$C32="N/A")</formula>
    </cfRule>
  </conditionalFormatting>
  <conditionalFormatting sqref="C30:D30">
    <cfRule type="containsText" dxfId="83" priority="78" operator="containsText" text="Yes">
      <formula>NOT(ISERROR(SEARCH("Yes",C30)))</formula>
    </cfRule>
  </conditionalFormatting>
  <conditionalFormatting sqref="C30:D30">
    <cfRule type="containsText" dxfId="82" priority="76" operator="containsText" text="N/A">
      <formula>NOT(ISERROR(SEARCH("N/A",C30)))</formula>
    </cfRule>
    <cfRule type="containsText" dxfId="81" priority="77" operator="containsText" text="No">
      <formula>NOT(ISERROR(SEARCH("No",C30)))</formula>
    </cfRule>
  </conditionalFormatting>
  <conditionalFormatting sqref="E30">
    <cfRule type="expression" dxfId="80" priority="79">
      <formula>OR($C30="Yes",$C30="N/A")</formula>
    </cfRule>
  </conditionalFormatting>
  <conditionalFormatting sqref="C50:D51">
    <cfRule type="containsText" dxfId="79" priority="74" operator="containsText" text="Yes">
      <formula>NOT(ISERROR(SEARCH("Yes",C50)))</formula>
    </cfRule>
  </conditionalFormatting>
  <conditionalFormatting sqref="C50:D51">
    <cfRule type="containsText" dxfId="78" priority="72" operator="containsText" text="N/A">
      <formula>NOT(ISERROR(SEARCH("N/A",C50)))</formula>
    </cfRule>
    <cfRule type="containsText" dxfId="77" priority="73" operator="containsText" text="No">
      <formula>NOT(ISERROR(SEARCH("No",C50)))</formula>
    </cfRule>
  </conditionalFormatting>
  <conditionalFormatting sqref="E50:E51">
    <cfRule type="expression" dxfId="76" priority="75">
      <formula>OR($C50="Yes",$C50="N/A")</formula>
    </cfRule>
  </conditionalFormatting>
  <conditionalFormatting sqref="C40:D44">
    <cfRule type="containsText" dxfId="75" priority="70" operator="containsText" text="Yes">
      <formula>NOT(ISERROR(SEARCH("Yes",C40)))</formula>
    </cfRule>
  </conditionalFormatting>
  <conditionalFormatting sqref="C40:D44">
    <cfRule type="containsText" dxfId="74" priority="68" operator="containsText" text="N/A">
      <formula>NOT(ISERROR(SEARCH("N/A",C40)))</formula>
    </cfRule>
    <cfRule type="containsText" dxfId="73" priority="69" operator="containsText" text="No">
      <formula>NOT(ISERROR(SEARCH("No",C40)))</formula>
    </cfRule>
  </conditionalFormatting>
  <conditionalFormatting sqref="E40:E44">
    <cfRule type="expression" dxfId="72" priority="71">
      <formula>OR($C40="Yes",$C40="N/A")</formula>
    </cfRule>
  </conditionalFormatting>
  <conditionalFormatting sqref="C57:D58">
    <cfRule type="containsText" dxfId="71" priority="66" operator="containsText" text="Yes">
      <formula>NOT(ISERROR(SEARCH("Yes",C57)))</formula>
    </cfRule>
  </conditionalFormatting>
  <conditionalFormatting sqref="C57:D58">
    <cfRule type="containsText" dxfId="70" priority="64" operator="containsText" text="N/A">
      <formula>NOT(ISERROR(SEARCH("N/A",C57)))</formula>
    </cfRule>
    <cfRule type="containsText" dxfId="69" priority="65" operator="containsText" text="No">
      <formula>NOT(ISERROR(SEARCH("No",C57)))</formula>
    </cfRule>
  </conditionalFormatting>
  <conditionalFormatting sqref="E57:E58">
    <cfRule type="expression" dxfId="68" priority="67">
      <formula>OR($C57="Yes",$C57="N/A")</formula>
    </cfRule>
  </conditionalFormatting>
  <conditionalFormatting sqref="C31:D31">
    <cfRule type="containsText" dxfId="67" priority="62" operator="containsText" text="Yes">
      <formula>NOT(ISERROR(SEARCH("Yes",C31)))</formula>
    </cfRule>
  </conditionalFormatting>
  <conditionalFormatting sqref="C31:D31">
    <cfRule type="containsText" dxfId="66" priority="60" operator="containsText" text="N/A">
      <formula>NOT(ISERROR(SEARCH("N/A",C31)))</formula>
    </cfRule>
    <cfRule type="containsText" dxfId="65" priority="61" operator="containsText" text="No">
      <formula>NOT(ISERROR(SEARCH("No",C31)))</formula>
    </cfRule>
  </conditionalFormatting>
  <conditionalFormatting sqref="E31">
    <cfRule type="expression" dxfId="64" priority="63">
      <formula>OR($C31="Yes",$C31="N/A")</formula>
    </cfRule>
  </conditionalFormatting>
  <conditionalFormatting sqref="C36:D36">
    <cfRule type="containsText" dxfId="63" priority="58" operator="containsText" text="Yes">
      <formula>NOT(ISERROR(SEARCH("Yes",C36)))</formula>
    </cfRule>
  </conditionalFormatting>
  <conditionalFormatting sqref="C36:D36">
    <cfRule type="containsText" dxfId="62" priority="56" operator="containsText" text="N/A">
      <formula>NOT(ISERROR(SEARCH("N/A",C36)))</formula>
    </cfRule>
    <cfRule type="containsText" dxfId="61" priority="57" operator="containsText" text="No">
      <formula>NOT(ISERROR(SEARCH("No",C36)))</formula>
    </cfRule>
  </conditionalFormatting>
  <conditionalFormatting sqref="E36">
    <cfRule type="expression" dxfId="60" priority="59">
      <formula>OR($C36="Yes",$C36="N/A")</formula>
    </cfRule>
  </conditionalFormatting>
  <conditionalFormatting sqref="C45:D45">
    <cfRule type="containsText" dxfId="59" priority="54" operator="containsText" text="Yes">
      <formula>NOT(ISERROR(SEARCH("Yes",C45)))</formula>
    </cfRule>
  </conditionalFormatting>
  <conditionalFormatting sqref="C45:D45">
    <cfRule type="containsText" dxfId="58" priority="52" operator="containsText" text="N/A">
      <formula>NOT(ISERROR(SEARCH("N/A",C45)))</formula>
    </cfRule>
    <cfRule type="containsText" dxfId="57" priority="53" operator="containsText" text="No">
      <formula>NOT(ISERROR(SEARCH("No",C45)))</formula>
    </cfRule>
  </conditionalFormatting>
  <conditionalFormatting sqref="E45">
    <cfRule type="expression" dxfId="56" priority="55">
      <formula>OR($C45="Yes",$C45="N/A")</formula>
    </cfRule>
  </conditionalFormatting>
  <conditionalFormatting sqref="C52:D52">
    <cfRule type="containsText" dxfId="55" priority="50" operator="containsText" text="Yes">
      <formula>NOT(ISERROR(SEARCH("Yes",C52)))</formula>
    </cfRule>
  </conditionalFormatting>
  <conditionalFormatting sqref="C52:D52">
    <cfRule type="containsText" dxfId="54" priority="48" operator="containsText" text="N/A">
      <formula>NOT(ISERROR(SEARCH("N/A",C52)))</formula>
    </cfRule>
    <cfRule type="containsText" dxfId="53" priority="49" operator="containsText" text="No">
      <formula>NOT(ISERROR(SEARCH("No",C52)))</formula>
    </cfRule>
  </conditionalFormatting>
  <conditionalFormatting sqref="E52">
    <cfRule type="expression" dxfId="52" priority="51">
      <formula>OR($C52="Yes",$C52="N/A")</formula>
    </cfRule>
  </conditionalFormatting>
  <conditionalFormatting sqref="C59:D59">
    <cfRule type="containsText" dxfId="51" priority="46" operator="containsText" text="Yes">
      <formula>NOT(ISERROR(SEARCH("Yes",C59)))</formula>
    </cfRule>
  </conditionalFormatting>
  <conditionalFormatting sqref="C59:D59">
    <cfRule type="containsText" dxfId="50" priority="44" operator="containsText" text="N/A">
      <formula>NOT(ISERROR(SEARCH("N/A",C59)))</formula>
    </cfRule>
    <cfRule type="containsText" dxfId="49" priority="45" operator="containsText" text="No">
      <formula>NOT(ISERROR(SEARCH("No",C59)))</formula>
    </cfRule>
  </conditionalFormatting>
  <conditionalFormatting sqref="E59">
    <cfRule type="expression" dxfId="48" priority="47">
      <formula>OR($C59="Yes",$C59="N/A")</formula>
    </cfRule>
  </conditionalFormatting>
  <conditionalFormatting sqref="C29:D29">
    <cfRule type="containsText" dxfId="47" priority="42" operator="containsText" text="Yes">
      <formula>NOT(ISERROR(SEARCH("Yes",C29)))</formula>
    </cfRule>
  </conditionalFormatting>
  <conditionalFormatting sqref="C29:D29">
    <cfRule type="containsText" dxfId="46" priority="40" operator="containsText" text="N/A">
      <formula>NOT(ISERROR(SEARCH("N/A",C29)))</formula>
    </cfRule>
    <cfRule type="containsText" dxfId="45" priority="41" operator="containsText" text="No">
      <formula>NOT(ISERROR(SEARCH("No",C29)))</formula>
    </cfRule>
  </conditionalFormatting>
  <conditionalFormatting sqref="E29">
    <cfRule type="expression" dxfId="44" priority="43">
      <formula>OR($C29="Yes",$C29="N/A")</formula>
    </cfRule>
  </conditionalFormatting>
  <conditionalFormatting sqref="C34:D34">
    <cfRule type="containsText" dxfId="43" priority="38" operator="containsText" text="Yes">
      <formula>NOT(ISERROR(SEARCH("Yes",C34)))</formula>
    </cfRule>
  </conditionalFormatting>
  <conditionalFormatting sqref="C34:D34">
    <cfRule type="containsText" dxfId="42" priority="36" operator="containsText" text="N/A">
      <formula>NOT(ISERROR(SEARCH("N/A",C34)))</formula>
    </cfRule>
    <cfRule type="containsText" dxfId="41" priority="37" operator="containsText" text="No">
      <formula>NOT(ISERROR(SEARCH("No",C34)))</formula>
    </cfRule>
  </conditionalFormatting>
  <conditionalFormatting sqref="E34">
    <cfRule type="expression" dxfId="40" priority="39">
      <formula>OR($C34="Yes",$C34="N/A")</formula>
    </cfRule>
  </conditionalFormatting>
  <conditionalFormatting sqref="C49:D49">
    <cfRule type="containsText" dxfId="39" priority="34" operator="containsText" text="Yes">
      <formula>NOT(ISERROR(SEARCH("Yes",C49)))</formula>
    </cfRule>
  </conditionalFormatting>
  <conditionalFormatting sqref="C49:D49">
    <cfRule type="containsText" dxfId="38" priority="32" operator="containsText" text="N/A">
      <formula>NOT(ISERROR(SEARCH("N/A",C49)))</formula>
    </cfRule>
    <cfRule type="containsText" dxfId="37" priority="33" operator="containsText" text="No">
      <formula>NOT(ISERROR(SEARCH("No",C49)))</formula>
    </cfRule>
  </conditionalFormatting>
  <conditionalFormatting sqref="E49">
    <cfRule type="expression" dxfId="36" priority="35">
      <formula>OR($C49="Yes",$C49="N/A")</formula>
    </cfRule>
  </conditionalFormatting>
  <conditionalFormatting sqref="C56:D56">
    <cfRule type="containsText" dxfId="35" priority="30" operator="containsText" text="Yes">
      <formula>NOT(ISERROR(SEARCH("Yes",C56)))</formula>
    </cfRule>
  </conditionalFormatting>
  <conditionalFormatting sqref="C56:D56">
    <cfRule type="containsText" dxfId="34" priority="28" operator="containsText" text="N/A">
      <formula>NOT(ISERROR(SEARCH("N/A",C56)))</formula>
    </cfRule>
    <cfRule type="containsText" dxfId="33" priority="29" operator="containsText" text="No">
      <formula>NOT(ISERROR(SEARCH("No",C56)))</formula>
    </cfRule>
  </conditionalFormatting>
  <conditionalFormatting sqref="E56">
    <cfRule type="expression" dxfId="32" priority="31">
      <formula>OR($C56="Yes",$C56="N/A")</formula>
    </cfRule>
  </conditionalFormatting>
  <conditionalFormatting sqref="C39:D39">
    <cfRule type="containsText" dxfId="31" priority="26" operator="containsText" text="Yes">
      <formula>NOT(ISERROR(SEARCH("Yes",C39)))</formula>
    </cfRule>
  </conditionalFormatting>
  <conditionalFormatting sqref="C39:D39">
    <cfRule type="containsText" dxfId="30" priority="24" operator="containsText" text="N/A">
      <formula>NOT(ISERROR(SEARCH("N/A",C39)))</formula>
    </cfRule>
    <cfRule type="containsText" dxfId="29" priority="25" operator="containsText" text="No">
      <formula>NOT(ISERROR(SEARCH("No",C39)))</formula>
    </cfRule>
  </conditionalFormatting>
  <conditionalFormatting sqref="E39">
    <cfRule type="expression" dxfId="28" priority="27">
      <formula>OR($C39="Yes",$C39="N/A")</formula>
    </cfRule>
  </conditionalFormatting>
  <conditionalFormatting sqref="C35:D35">
    <cfRule type="containsText" dxfId="27" priority="22" operator="containsText" text="Yes">
      <formula>NOT(ISERROR(SEARCH("Yes",C35)))</formula>
    </cfRule>
  </conditionalFormatting>
  <conditionalFormatting sqref="C35:D35">
    <cfRule type="containsText" dxfId="26" priority="20" operator="containsText" text="N/A">
      <formula>NOT(ISERROR(SEARCH("N/A",C35)))</formula>
    </cfRule>
    <cfRule type="containsText" dxfId="25" priority="21" operator="containsText" text="No">
      <formula>NOT(ISERROR(SEARCH("No",C35)))</formula>
    </cfRule>
  </conditionalFormatting>
  <conditionalFormatting sqref="E35">
    <cfRule type="expression" dxfId="24" priority="23">
      <formula>OR($C35="Yes",$C35="N/A")</formula>
    </cfRule>
  </conditionalFormatting>
  <conditionalFormatting sqref="C11:D11">
    <cfRule type="containsText" dxfId="23" priority="15" operator="containsText" text="Yes">
      <formula>NOT(ISERROR(SEARCH("Yes",C11)))</formula>
    </cfRule>
  </conditionalFormatting>
  <conditionalFormatting sqref="C11:D11">
    <cfRule type="containsText" dxfId="22" priority="13" operator="containsText" text="N/A">
      <formula>NOT(ISERROR(SEARCH("N/A",C11)))</formula>
    </cfRule>
    <cfRule type="containsText" dxfId="21" priority="14" operator="containsText" text="No">
      <formula>NOT(ISERROR(SEARCH("No",C11)))</formula>
    </cfRule>
  </conditionalFormatting>
  <conditionalFormatting sqref="E11">
    <cfRule type="expression" dxfId="20" priority="16">
      <formula>OR($C11="Yes",$C11="N/A")</formula>
    </cfRule>
  </conditionalFormatting>
  <conditionalFormatting sqref="C26">
    <cfRule type="containsText" dxfId="19" priority="11" operator="containsText" text="Yes">
      <formula>NOT(ISERROR(SEARCH("Yes",C26)))</formula>
    </cfRule>
  </conditionalFormatting>
  <conditionalFormatting sqref="C26">
    <cfRule type="containsText" dxfId="18" priority="9" operator="containsText" text="N/A">
      <formula>NOT(ISERROR(SEARCH("N/A",C26)))</formula>
    </cfRule>
    <cfRule type="containsText" dxfId="17" priority="10" operator="containsText" text="No">
      <formula>NOT(ISERROR(SEARCH("No",C26)))</formula>
    </cfRule>
  </conditionalFormatting>
  <conditionalFormatting sqref="E26">
    <cfRule type="expression" dxfId="16" priority="12">
      <formula>OR($C26="Yes",$C26="N/A")</formula>
    </cfRule>
  </conditionalFormatting>
  <conditionalFormatting sqref="C46">
    <cfRule type="containsText" dxfId="15" priority="7" operator="containsText" text="Yes">
      <formula>NOT(ISERROR(SEARCH("Yes",C46)))</formula>
    </cfRule>
  </conditionalFormatting>
  <conditionalFormatting sqref="C46">
    <cfRule type="containsText" dxfId="14" priority="5" operator="containsText" text="N/A">
      <formula>NOT(ISERROR(SEARCH("N/A",C46)))</formula>
    </cfRule>
    <cfRule type="containsText" dxfId="13" priority="6" operator="containsText" text="No">
      <formula>NOT(ISERROR(SEARCH("No",C46)))</formula>
    </cfRule>
  </conditionalFormatting>
  <conditionalFormatting sqref="E46">
    <cfRule type="expression" dxfId="12" priority="8">
      <formula>OR($C46="Yes",$C46="N/A")</formula>
    </cfRule>
  </conditionalFormatting>
  <conditionalFormatting sqref="C53">
    <cfRule type="containsText" dxfId="11" priority="3" operator="containsText" text="Yes">
      <formula>NOT(ISERROR(SEARCH("Yes",C53)))</formula>
    </cfRule>
  </conditionalFormatting>
  <conditionalFormatting sqref="C53">
    <cfRule type="containsText" dxfId="10" priority="1" operator="containsText" text="N/A">
      <formula>NOT(ISERROR(SEARCH("N/A",C53)))</formula>
    </cfRule>
    <cfRule type="containsText" dxfId="9" priority="2" operator="containsText" text="No">
      <formula>NOT(ISERROR(SEARCH("No",C53)))</formula>
    </cfRule>
  </conditionalFormatting>
  <conditionalFormatting sqref="E53">
    <cfRule type="expression" dxfId="8" priority="4">
      <formula>OR($C53="Yes",$C53="N/A")</formula>
    </cfRule>
  </conditionalFormatting>
  <dataValidations count="1">
    <dataValidation type="list" allowBlank="1" showInputMessage="1" showErrorMessage="1" sqref="C18:C19 C29:C31 C34:C36 C22:C26 C39:C46 C56:C59 D12 C15 C5:C12 C49:C53" xr:uid="{00000000-0002-0000-1600-000000000000}">
      <formula1>"Yes, No, N/A"</formula1>
    </dataValidation>
  </dataValidations>
  <pageMargins left="0.7" right="0.7" top="0.75" bottom="0.75" header="0.3" footer="0.3"/>
  <pageSetup orientation="portrait" r:id="rId1"/>
  <rowBreaks count="2" manualBreakCount="2">
    <brk id="20" max="16383" man="1"/>
    <brk id="3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7"/>
  </sheetPr>
  <dimension ref="A1:S152"/>
  <sheetViews>
    <sheetView topLeftCell="A85" zoomScaleNormal="100" workbookViewId="0">
      <selection activeCell="C71" sqref="C71"/>
    </sheetView>
  </sheetViews>
  <sheetFormatPr defaultRowHeight="15" x14ac:dyDescent="0.25"/>
  <cols>
    <col min="1" max="1" width="35.85546875" bestFit="1" customWidth="1"/>
    <col min="3" max="3" width="8.7109375" customWidth="1"/>
    <col min="13" max="13" width="14.28515625" bestFit="1" customWidth="1"/>
  </cols>
  <sheetData>
    <row r="1" spans="1:19" x14ac:dyDescent="0.25">
      <c r="A1" t="s">
        <v>149</v>
      </c>
      <c r="M1">
        <v>40</v>
      </c>
      <c r="N1" t="s">
        <v>202</v>
      </c>
      <c r="P1" t="s">
        <v>16</v>
      </c>
      <c r="Q1" t="s">
        <v>33</v>
      </c>
      <c r="R1" t="s">
        <v>16</v>
      </c>
    </row>
    <row r="2" spans="1:19" x14ac:dyDescent="0.25">
      <c r="A2" t="s">
        <v>150</v>
      </c>
      <c r="N2" t="s">
        <v>203</v>
      </c>
      <c r="P2" t="s">
        <v>333</v>
      </c>
      <c r="Q2" t="s">
        <v>345</v>
      </c>
      <c r="R2" t="s">
        <v>323</v>
      </c>
    </row>
    <row r="3" spans="1:19" x14ac:dyDescent="0.25">
      <c r="A3" t="s">
        <v>195</v>
      </c>
    </row>
    <row r="4" spans="1:19" x14ac:dyDescent="0.25">
      <c r="B4" t="s">
        <v>149</v>
      </c>
      <c r="C4" t="s">
        <v>150</v>
      </c>
      <c r="D4" t="s">
        <v>195</v>
      </c>
      <c r="N4" t="s">
        <v>558</v>
      </c>
      <c r="P4" t="s">
        <v>334</v>
      </c>
      <c r="Q4" t="s">
        <v>355</v>
      </c>
      <c r="R4" t="s">
        <v>357</v>
      </c>
      <c r="S4" t="s">
        <v>338</v>
      </c>
    </row>
    <row r="5" spans="1:19" x14ac:dyDescent="0.25">
      <c r="A5" t="s">
        <v>151</v>
      </c>
      <c r="B5" t="s">
        <v>752</v>
      </c>
      <c r="D5" t="s">
        <v>454</v>
      </c>
      <c r="N5" t="s">
        <v>559</v>
      </c>
      <c r="P5" t="s">
        <v>335</v>
      </c>
      <c r="Q5" t="s">
        <v>26</v>
      </c>
      <c r="R5" t="s">
        <v>358</v>
      </c>
      <c r="S5" t="s">
        <v>359</v>
      </c>
    </row>
    <row r="6" spans="1:19" ht="18" x14ac:dyDescent="0.35">
      <c r="A6" t="s">
        <v>753</v>
      </c>
      <c r="B6" t="s">
        <v>153</v>
      </c>
      <c r="D6" t="s">
        <v>457</v>
      </c>
      <c r="P6" t="s">
        <v>336</v>
      </c>
      <c r="Q6" t="s">
        <v>16</v>
      </c>
      <c r="S6" t="s">
        <v>360</v>
      </c>
    </row>
    <row r="7" spans="1:19" x14ac:dyDescent="0.25">
      <c r="A7" t="s">
        <v>754</v>
      </c>
      <c r="B7" t="s">
        <v>755</v>
      </c>
      <c r="D7" t="s">
        <v>459</v>
      </c>
      <c r="P7" t="s">
        <v>337</v>
      </c>
      <c r="Q7" t="s">
        <v>356</v>
      </c>
      <c r="S7" t="s">
        <v>337</v>
      </c>
    </row>
    <row r="8" spans="1:19" x14ac:dyDescent="0.25">
      <c r="A8" t="s">
        <v>152</v>
      </c>
      <c r="B8" t="s">
        <v>756</v>
      </c>
      <c r="D8" t="s">
        <v>460</v>
      </c>
      <c r="S8" t="s">
        <v>361</v>
      </c>
    </row>
    <row r="10" spans="1:19" x14ac:dyDescent="0.25">
      <c r="B10" t="s">
        <v>149</v>
      </c>
      <c r="C10" t="s">
        <v>150</v>
      </c>
      <c r="D10" t="s">
        <v>195</v>
      </c>
    </row>
    <row r="11" spans="1:19" x14ac:dyDescent="0.25">
      <c r="A11" t="s">
        <v>151</v>
      </c>
      <c r="B11">
        <v>0.4</v>
      </c>
      <c r="C11">
        <v>0.4</v>
      </c>
      <c r="D11" t="s">
        <v>432</v>
      </c>
    </row>
    <row r="12" spans="1:19" x14ac:dyDescent="0.25">
      <c r="A12" t="s">
        <v>753</v>
      </c>
      <c r="B12">
        <v>0.4</v>
      </c>
      <c r="C12">
        <v>0.4</v>
      </c>
      <c r="D12" t="s">
        <v>432</v>
      </c>
    </row>
    <row r="13" spans="1:19" x14ac:dyDescent="0.25">
      <c r="A13" t="s">
        <v>754</v>
      </c>
      <c r="B13">
        <v>0.4</v>
      </c>
      <c r="C13">
        <v>0.4</v>
      </c>
      <c r="D13" t="s">
        <v>432</v>
      </c>
    </row>
    <row r="14" spans="1:19" x14ac:dyDescent="0.25">
      <c r="A14" t="s">
        <v>152</v>
      </c>
      <c r="B14">
        <v>0.4</v>
      </c>
      <c r="C14">
        <v>0.4</v>
      </c>
      <c r="D14" t="s">
        <v>432</v>
      </c>
    </row>
    <row r="16" spans="1:19" x14ac:dyDescent="0.25">
      <c r="A16" t="s">
        <v>565</v>
      </c>
      <c r="B16" t="s">
        <v>149</v>
      </c>
      <c r="C16" t="s">
        <v>150</v>
      </c>
      <c r="D16" t="s">
        <v>195</v>
      </c>
    </row>
    <row r="17" spans="1:9" x14ac:dyDescent="0.25">
      <c r="A17" t="s">
        <v>566</v>
      </c>
      <c r="B17" t="s">
        <v>568</v>
      </c>
      <c r="C17" t="s">
        <v>153</v>
      </c>
      <c r="D17" t="s">
        <v>462</v>
      </c>
    </row>
    <row r="18" spans="1:9" x14ac:dyDescent="0.25">
      <c r="A18" t="s">
        <v>567</v>
      </c>
      <c r="B18" t="s">
        <v>568</v>
      </c>
      <c r="C18" t="s">
        <v>153</v>
      </c>
      <c r="D18" t="s">
        <v>462</v>
      </c>
    </row>
    <row r="20" spans="1:9" x14ac:dyDescent="0.25">
      <c r="A20" t="s">
        <v>565</v>
      </c>
      <c r="B20" t="s">
        <v>149</v>
      </c>
      <c r="C20" t="s">
        <v>150</v>
      </c>
      <c r="D20" t="s">
        <v>195</v>
      </c>
    </row>
    <row r="21" spans="1:9" x14ac:dyDescent="0.25">
      <c r="A21" t="s">
        <v>566</v>
      </c>
      <c r="B21">
        <v>0.49</v>
      </c>
      <c r="C21">
        <v>0.4</v>
      </c>
      <c r="D21" t="s">
        <v>432</v>
      </c>
    </row>
    <row r="22" spans="1:9" x14ac:dyDescent="0.25">
      <c r="A22" t="s">
        <v>567</v>
      </c>
      <c r="B22">
        <v>0.39</v>
      </c>
      <c r="C22">
        <v>0.4</v>
      </c>
      <c r="D22" t="s">
        <v>432</v>
      </c>
    </row>
    <row r="24" spans="1:9" x14ac:dyDescent="0.25">
      <c r="B24" t="s">
        <v>149</v>
      </c>
      <c r="C24" t="s">
        <v>150</v>
      </c>
      <c r="D24" t="s">
        <v>195</v>
      </c>
    </row>
    <row r="25" spans="1:9" x14ac:dyDescent="0.25">
      <c r="A25" t="s">
        <v>169</v>
      </c>
      <c r="B25" t="s">
        <v>757</v>
      </c>
      <c r="C25" t="s">
        <v>463</v>
      </c>
      <c r="D25" t="s">
        <v>464</v>
      </c>
    </row>
    <row r="26" spans="1:9" x14ac:dyDescent="0.25">
      <c r="B26" t="s">
        <v>149</v>
      </c>
      <c r="C26" t="s">
        <v>150</v>
      </c>
      <c r="D26" t="s">
        <v>195</v>
      </c>
    </row>
    <row r="27" spans="1:9" x14ac:dyDescent="0.25">
      <c r="A27" t="s">
        <v>173</v>
      </c>
      <c r="B27" t="s">
        <v>182</v>
      </c>
      <c r="C27" t="s">
        <v>182</v>
      </c>
      <c r="D27" t="s">
        <v>192</v>
      </c>
      <c r="G27" s="62"/>
      <c r="H27" s="62"/>
      <c r="I27" s="62"/>
    </row>
    <row r="28" spans="1:9" x14ac:dyDescent="0.25">
      <c r="B28" t="s">
        <v>149</v>
      </c>
      <c r="C28" t="s">
        <v>150</v>
      </c>
      <c r="D28" t="s">
        <v>195</v>
      </c>
    </row>
    <row r="29" spans="1:9" x14ac:dyDescent="0.25">
      <c r="A29" t="s">
        <v>175</v>
      </c>
      <c r="B29" t="s">
        <v>184</v>
      </c>
      <c r="D29" t="s">
        <v>184</v>
      </c>
    </row>
    <row r="30" spans="1:9" x14ac:dyDescent="0.25">
      <c r="B30" t="s">
        <v>149</v>
      </c>
      <c r="C30" t="s">
        <v>150</v>
      </c>
      <c r="D30" t="s">
        <v>195</v>
      </c>
    </row>
    <row r="31" spans="1:9" x14ac:dyDescent="0.25">
      <c r="A31" t="s">
        <v>172</v>
      </c>
      <c r="B31" t="s">
        <v>758</v>
      </c>
      <c r="C31" t="s">
        <v>474</v>
      </c>
      <c r="D31" t="s">
        <v>475</v>
      </c>
      <c r="G31" s="62"/>
      <c r="H31" s="62"/>
      <c r="I31" s="62"/>
    </row>
    <row r="32" spans="1:9" x14ac:dyDescent="0.25">
      <c r="A32" t="s">
        <v>176</v>
      </c>
      <c r="B32" t="s">
        <v>185</v>
      </c>
      <c r="C32" t="s">
        <v>185</v>
      </c>
      <c r="D32" t="s">
        <v>476</v>
      </c>
    </row>
    <row r="33" spans="1:9" x14ac:dyDescent="0.25">
      <c r="A33" t="s">
        <v>174</v>
      </c>
      <c r="B33" t="s">
        <v>186</v>
      </c>
      <c r="C33" t="s">
        <v>186</v>
      </c>
      <c r="D33" t="s">
        <v>474</v>
      </c>
      <c r="G33" s="62"/>
      <c r="H33" s="62"/>
      <c r="I33" s="62"/>
    </row>
    <row r="34" spans="1:9" x14ac:dyDescent="0.25">
      <c r="B34" t="s">
        <v>149</v>
      </c>
      <c r="C34" t="s">
        <v>150</v>
      </c>
      <c r="D34" t="s">
        <v>195</v>
      </c>
    </row>
    <row r="35" spans="1:9" x14ac:dyDescent="0.25">
      <c r="A35" t="s">
        <v>177</v>
      </c>
      <c r="B35" t="s">
        <v>573</v>
      </c>
      <c r="C35" t="s">
        <v>477</v>
      </c>
      <c r="D35" t="s">
        <v>193</v>
      </c>
    </row>
    <row r="36" spans="1:9" x14ac:dyDescent="0.25">
      <c r="A36" t="s">
        <v>178</v>
      </c>
      <c r="B36" t="s">
        <v>759</v>
      </c>
      <c r="C36" t="s">
        <v>479</v>
      </c>
      <c r="D36" t="s">
        <v>480</v>
      </c>
      <c r="G36" s="62"/>
      <c r="H36" s="62"/>
      <c r="I36" s="62"/>
    </row>
    <row r="37" spans="1:9" x14ac:dyDescent="0.25">
      <c r="B37" t="s">
        <v>149</v>
      </c>
      <c r="C37" t="s">
        <v>150</v>
      </c>
      <c r="D37" t="s">
        <v>195</v>
      </c>
    </row>
    <row r="38" spans="1:9" x14ac:dyDescent="0.25">
      <c r="A38" t="s">
        <v>179</v>
      </c>
      <c r="B38" t="s">
        <v>760</v>
      </c>
      <c r="C38" t="s">
        <v>188</v>
      </c>
      <c r="D38" t="s">
        <v>187</v>
      </c>
    </row>
    <row r="39" spans="1:9" x14ac:dyDescent="0.25">
      <c r="A39" t="s">
        <v>180</v>
      </c>
      <c r="B39" t="s">
        <v>761</v>
      </c>
      <c r="C39" t="s">
        <v>188</v>
      </c>
      <c r="D39" t="s">
        <v>194</v>
      </c>
    </row>
    <row r="43" spans="1:9" x14ac:dyDescent="0.25">
      <c r="A43" t="s">
        <v>578</v>
      </c>
      <c r="B43" t="s">
        <v>550</v>
      </c>
    </row>
    <row r="44" spans="1:9" x14ac:dyDescent="0.25">
      <c r="A44" t="s">
        <v>579</v>
      </c>
      <c r="B44" t="s">
        <v>550</v>
      </c>
    </row>
    <row r="45" spans="1:9" x14ac:dyDescent="0.25">
      <c r="A45" t="s">
        <v>577</v>
      </c>
      <c r="B45" t="s">
        <v>363</v>
      </c>
    </row>
    <row r="46" spans="1:9" x14ac:dyDescent="0.25">
      <c r="A46" t="s">
        <v>580</v>
      </c>
      <c r="B46" t="s">
        <v>363</v>
      </c>
    </row>
    <row r="47" spans="1:9" x14ac:dyDescent="0.25">
      <c r="A47" t="s">
        <v>762</v>
      </c>
      <c r="B47" t="s">
        <v>550</v>
      </c>
    </row>
    <row r="48" spans="1:9" x14ac:dyDescent="0.25">
      <c r="A48" t="s">
        <v>763</v>
      </c>
      <c r="B48" t="s">
        <v>550</v>
      </c>
    </row>
    <row r="49" spans="1:2" x14ac:dyDescent="0.25">
      <c r="A49" t="s">
        <v>764</v>
      </c>
      <c r="B49" t="s">
        <v>363</v>
      </c>
    </row>
    <row r="50" spans="1:2" x14ac:dyDescent="0.25">
      <c r="A50" t="s">
        <v>765</v>
      </c>
      <c r="B50" t="s">
        <v>363</v>
      </c>
    </row>
    <row r="52" spans="1:2" x14ac:dyDescent="0.25">
      <c r="A52" s="159" t="s">
        <v>916</v>
      </c>
    </row>
    <row r="53" spans="1:2" x14ac:dyDescent="0.25">
      <c r="A53" t="s">
        <v>788</v>
      </c>
    </row>
    <row r="54" spans="1:2" x14ac:dyDescent="0.25">
      <c r="A54" t="s">
        <v>789</v>
      </c>
    </row>
    <row r="56" spans="1:2" x14ac:dyDescent="0.25">
      <c r="A56" t="s">
        <v>770</v>
      </c>
    </row>
    <row r="57" spans="1:2" x14ac:dyDescent="0.25">
      <c r="A57" s="159" t="s">
        <v>790</v>
      </c>
    </row>
    <row r="60" spans="1:2" x14ac:dyDescent="0.25">
      <c r="A60" t="s">
        <v>771</v>
      </c>
    </row>
    <row r="61" spans="1:2" x14ac:dyDescent="0.25">
      <c r="A61" t="s">
        <v>791</v>
      </c>
    </row>
    <row r="62" spans="1:2" x14ac:dyDescent="0.25">
      <c r="A62" t="s">
        <v>792</v>
      </c>
    </row>
    <row r="63" spans="1:2" x14ac:dyDescent="0.25">
      <c r="A63" t="s">
        <v>948</v>
      </c>
    </row>
    <row r="64" spans="1:2" x14ac:dyDescent="0.25">
      <c r="A64" t="s">
        <v>809</v>
      </c>
      <c r="B64" t="s">
        <v>810</v>
      </c>
    </row>
    <row r="65" spans="1:4" x14ac:dyDescent="0.25">
      <c r="A65" t="s">
        <v>811</v>
      </c>
      <c r="B65">
        <v>2.5499999999999998</v>
      </c>
    </row>
    <row r="66" spans="1:4" x14ac:dyDescent="0.25">
      <c r="A66" t="s">
        <v>812</v>
      </c>
      <c r="B66">
        <v>1.05</v>
      </c>
    </row>
    <row r="69" spans="1:4" x14ac:dyDescent="0.25">
      <c r="A69" t="s">
        <v>791</v>
      </c>
    </row>
    <row r="70" spans="1:4" x14ac:dyDescent="0.25">
      <c r="A70" t="s">
        <v>815</v>
      </c>
      <c r="B70" t="s">
        <v>816</v>
      </c>
      <c r="C70" t="s">
        <v>817</v>
      </c>
      <c r="D70" t="s">
        <v>818</v>
      </c>
    </row>
    <row r="71" spans="1:4" x14ac:dyDescent="0.25">
      <c r="A71">
        <v>0.05</v>
      </c>
      <c r="B71">
        <f>A71-0.02</f>
        <v>3.0000000000000002E-2</v>
      </c>
      <c r="C71">
        <f>(1-'SCA Exec Summary'!$D$15)*A71+'SCA Exec Summary'!$D$15*B71</f>
        <v>0.05</v>
      </c>
      <c r="D71">
        <v>3</v>
      </c>
    </row>
    <row r="72" spans="1:4" x14ac:dyDescent="0.25">
      <c r="A72">
        <v>0.06</v>
      </c>
      <c r="B72">
        <f t="shared" ref="B72:B87" si="0">A72-0.02</f>
        <v>3.9999999999999994E-2</v>
      </c>
      <c r="C72">
        <f>(1-'SCA Exec Summary'!$D$15)*A72+'SCA Exec Summary'!$D$15*B72</f>
        <v>0.06</v>
      </c>
      <c r="D72">
        <v>4</v>
      </c>
    </row>
    <row r="73" spans="1:4" x14ac:dyDescent="0.25">
      <c r="A73">
        <v>0.08</v>
      </c>
      <c r="B73">
        <f t="shared" si="0"/>
        <v>0.06</v>
      </c>
      <c r="C73">
        <f>(1-'SCA Exec Summary'!$D$15)*A73+'SCA Exec Summary'!$D$15*B73</f>
        <v>0.08</v>
      </c>
      <c r="D73">
        <f>D72+1</f>
        <v>5</v>
      </c>
    </row>
    <row r="74" spans="1:4" x14ac:dyDescent="0.25">
      <c r="A74">
        <v>0.1</v>
      </c>
      <c r="B74">
        <f t="shared" si="0"/>
        <v>0.08</v>
      </c>
      <c r="C74">
        <f>(1-'SCA Exec Summary'!$D$15)*A74+'SCA Exec Summary'!$D$15*B74</f>
        <v>0.1</v>
      </c>
      <c r="D74">
        <f t="shared" ref="D74:D87" si="1">D73+1</f>
        <v>6</v>
      </c>
    </row>
    <row r="75" spans="1:4" x14ac:dyDescent="0.25">
      <c r="A75">
        <v>0.12</v>
      </c>
      <c r="B75">
        <f t="shared" si="0"/>
        <v>9.9999999999999992E-2</v>
      </c>
      <c r="C75">
        <f>(1-'SCA Exec Summary'!$D$15)*A75+'SCA Exec Summary'!$D$15*B75</f>
        <v>0.12</v>
      </c>
      <c r="D75">
        <f t="shared" si="1"/>
        <v>7</v>
      </c>
    </row>
    <row r="76" spans="1:4" x14ac:dyDescent="0.25">
      <c r="A76">
        <v>0.14000000000000001</v>
      </c>
      <c r="B76">
        <f t="shared" si="0"/>
        <v>0.12000000000000001</v>
      </c>
      <c r="C76">
        <f>(1-'SCA Exec Summary'!$D$15)*A76+'SCA Exec Summary'!$D$15*B76</f>
        <v>0.14000000000000001</v>
      </c>
      <c r="D76">
        <f t="shared" si="1"/>
        <v>8</v>
      </c>
    </row>
    <row r="77" spans="1:4" x14ac:dyDescent="0.25">
      <c r="A77">
        <v>0.16</v>
      </c>
      <c r="B77">
        <f t="shared" si="0"/>
        <v>0.14000000000000001</v>
      </c>
      <c r="C77">
        <f>(1-'SCA Exec Summary'!$D$15)*A77+'SCA Exec Summary'!$D$15*B77</f>
        <v>0.16</v>
      </c>
      <c r="D77">
        <f t="shared" si="1"/>
        <v>9</v>
      </c>
    </row>
    <row r="78" spans="1:4" x14ac:dyDescent="0.25">
      <c r="A78">
        <v>0.18</v>
      </c>
      <c r="B78">
        <f t="shared" si="0"/>
        <v>0.16</v>
      </c>
      <c r="C78">
        <f>(1-'SCA Exec Summary'!$D$15)*A78+'SCA Exec Summary'!$D$15*B78</f>
        <v>0.18</v>
      </c>
      <c r="D78">
        <f t="shared" si="1"/>
        <v>10</v>
      </c>
    </row>
    <row r="79" spans="1:4" x14ac:dyDescent="0.25">
      <c r="A79">
        <v>0.2</v>
      </c>
      <c r="B79">
        <f t="shared" si="0"/>
        <v>0.18000000000000002</v>
      </c>
      <c r="C79">
        <f>(1-'SCA Exec Summary'!$D$15)*A79+'SCA Exec Summary'!$D$15*B79</f>
        <v>0.2</v>
      </c>
      <c r="D79">
        <f t="shared" si="1"/>
        <v>11</v>
      </c>
    </row>
    <row r="80" spans="1:4" x14ac:dyDescent="0.25">
      <c r="A80">
        <v>0.22</v>
      </c>
      <c r="B80">
        <f t="shared" si="0"/>
        <v>0.2</v>
      </c>
      <c r="C80">
        <f>(1-'SCA Exec Summary'!$D$15)*A80+'SCA Exec Summary'!$D$15*B80</f>
        <v>0.22</v>
      </c>
      <c r="D80">
        <f t="shared" si="1"/>
        <v>12</v>
      </c>
    </row>
    <row r="81" spans="1:4" x14ac:dyDescent="0.25">
      <c r="A81">
        <v>0.24</v>
      </c>
      <c r="B81">
        <f t="shared" si="0"/>
        <v>0.22</v>
      </c>
      <c r="C81">
        <f>(1-'SCA Exec Summary'!$D$15)*A81+'SCA Exec Summary'!$D$15*B81</f>
        <v>0.24</v>
      </c>
      <c r="D81">
        <f t="shared" si="1"/>
        <v>13</v>
      </c>
    </row>
    <row r="82" spans="1:4" x14ac:dyDescent="0.25">
      <c r="A82">
        <v>0.26</v>
      </c>
      <c r="B82">
        <f t="shared" si="0"/>
        <v>0.24000000000000002</v>
      </c>
      <c r="C82">
        <f>(1-'SCA Exec Summary'!$D$15)*A82+'SCA Exec Summary'!$D$15*B82</f>
        <v>0.26</v>
      </c>
      <c r="D82">
        <f t="shared" si="1"/>
        <v>14</v>
      </c>
    </row>
    <row r="83" spans="1:4" x14ac:dyDescent="0.25">
      <c r="A83">
        <v>0.28000000000000003</v>
      </c>
      <c r="B83">
        <f t="shared" si="0"/>
        <v>0.26</v>
      </c>
      <c r="C83">
        <f>(1-'SCA Exec Summary'!$D$15)*A83+'SCA Exec Summary'!$D$15*B83</f>
        <v>0.28000000000000003</v>
      </c>
      <c r="D83">
        <f t="shared" si="1"/>
        <v>15</v>
      </c>
    </row>
    <row r="84" spans="1:4" x14ac:dyDescent="0.25">
      <c r="A84">
        <v>0.3</v>
      </c>
      <c r="B84">
        <f t="shared" si="0"/>
        <v>0.27999999999999997</v>
      </c>
      <c r="C84">
        <f>(1-'SCA Exec Summary'!$D$15)*A84+'SCA Exec Summary'!$D$15*B84</f>
        <v>0.3</v>
      </c>
      <c r="D84">
        <f t="shared" si="1"/>
        <v>16</v>
      </c>
    </row>
    <row r="85" spans="1:4" x14ac:dyDescent="0.25">
      <c r="A85">
        <v>0.32</v>
      </c>
      <c r="B85">
        <f t="shared" si="0"/>
        <v>0.3</v>
      </c>
      <c r="C85">
        <f>(1-'SCA Exec Summary'!$D$15)*A85+'SCA Exec Summary'!$D$15*B85</f>
        <v>0.32</v>
      </c>
      <c r="D85">
        <f t="shared" si="1"/>
        <v>17</v>
      </c>
    </row>
    <row r="86" spans="1:4" x14ac:dyDescent="0.25">
      <c r="A86">
        <v>0.34</v>
      </c>
      <c r="B86">
        <f t="shared" si="0"/>
        <v>0.32</v>
      </c>
      <c r="C86">
        <f>(1-'SCA Exec Summary'!$D$15)*A86+'SCA Exec Summary'!$D$15*B86</f>
        <v>0.34</v>
      </c>
      <c r="D86">
        <f t="shared" si="1"/>
        <v>18</v>
      </c>
    </row>
    <row r="87" spans="1:4" x14ac:dyDescent="0.25">
      <c r="A87">
        <v>0.36</v>
      </c>
      <c r="B87">
        <f t="shared" si="0"/>
        <v>0.33999999999999997</v>
      </c>
      <c r="C87">
        <f>(1-'SCA Exec Summary'!$D$15)*A87+'SCA Exec Summary'!$D$15*B87</f>
        <v>0.36</v>
      </c>
      <c r="D87">
        <f t="shared" si="1"/>
        <v>19</v>
      </c>
    </row>
    <row r="90" spans="1:4" x14ac:dyDescent="0.25">
      <c r="A90" t="s">
        <v>792</v>
      </c>
    </row>
    <row r="91" spans="1:4" x14ac:dyDescent="0.25">
      <c r="A91" t="s">
        <v>815</v>
      </c>
      <c r="B91" t="s">
        <v>816</v>
      </c>
      <c r="C91" t="s">
        <v>817</v>
      </c>
      <c r="D91" t="s">
        <v>818</v>
      </c>
    </row>
    <row r="92" spans="1:4" x14ac:dyDescent="0.25">
      <c r="A92">
        <v>-100</v>
      </c>
      <c r="B92">
        <v>-100</v>
      </c>
      <c r="C92">
        <f>(1-'SCA Exec Summary'!$D$15)*A92+'SCA Exec Summary'!$D$15*B92</f>
        <v>-100</v>
      </c>
      <c r="D92" t="s">
        <v>819</v>
      </c>
    </row>
    <row r="93" spans="1:4" x14ac:dyDescent="0.25">
      <c r="A93">
        <v>0.05</v>
      </c>
      <c r="B93">
        <v>0.03</v>
      </c>
      <c r="C93">
        <f>(1-'SCA Exec Summary'!$D$15)*A93+'SCA Exec Summary'!$D$15*B93</f>
        <v>0.05</v>
      </c>
      <c r="D93">
        <v>0</v>
      </c>
    </row>
    <row r="94" spans="1:4" x14ac:dyDescent="0.25">
      <c r="A94">
        <v>0.06</v>
      </c>
      <c r="B94">
        <f>A94-0.02</f>
        <v>3.9999999999999994E-2</v>
      </c>
      <c r="C94">
        <f>(1-'SCA Exec Summary'!$D$15)*A94+'SCA Exec Summary'!$D$15*B94</f>
        <v>0.06</v>
      </c>
      <c r="D94">
        <v>1</v>
      </c>
    </row>
    <row r="95" spans="1:4" x14ac:dyDescent="0.25">
      <c r="A95">
        <f>A94+0.02</f>
        <v>0.08</v>
      </c>
      <c r="B95">
        <f t="shared" ref="B95:B111" si="2">A95-0.02</f>
        <v>0.06</v>
      </c>
      <c r="C95">
        <f>(1-'SCA Exec Summary'!$D$15)*A95+'SCA Exec Summary'!$D$15*B95</f>
        <v>0.08</v>
      </c>
      <c r="D95">
        <f>D94+1</f>
        <v>2</v>
      </c>
    </row>
    <row r="96" spans="1:4" x14ac:dyDescent="0.25">
      <c r="A96">
        <f t="shared" ref="A96:A104" si="3">A95+0.02</f>
        <v>0.1</v>
      </c>
      <c r="B96">
        <f t="shared" si="2"/>
        <v>0.08</v>
      </c>
      <c r="C96">
        <f>(1-'SCA Exec Summary'!$D$15)*A96+'SCA Exec Summary'!$D$15*B96</f>
        <v>0.1</v>
      </c>
      <c r="D96">
        <f t="shared" ref="D96:D111" si="4">D95+1</f>
        <v>3</v>
      </c>
    </row>
    <row r="97" spans="1:4" x14ac:dyDescent="0.25">
      <c r="A97">
        <f t="shared" si="3"/>
        <v>0.12000000000000001</v>
      </c>
      <c r="B97">
        <f t="shared" si="2"/>
        <v>0.1</v>
      </c>
      <c r="C97">
        <f>(1-'SCA Exec Summary'!$D$15)*A97+'SCA Exec Summary'!$D$15*B97</f>
        <v>0.12000000000000001</v>
      </c>
      <c r="D97">
        <f t="shared" si="4"/>
        <v>4</v>
      </c>
    </row>
    <row r="98" spans="1:4" x14ac:dyDescent="0.25">
      <c r="A98">
        <f t="shared" si="3"/>
        <v>0.14000000000000001</v>
      </c>
      <c r="B98">
        <f t="shared" si="2"/>
        <v>0.12000000000000001</v>
      </c>
      <c r="C98">
        <f>(1-'SCA Exec Summary'!$D$15)*A98+'SCA Exec Summary'!$D$15*B98</f>
        <v>0.14000000000000001</v>
      </c>
      <c r="D98">
        <f t="shared" si="4"/>
        <v>5</v>
      </c>
    </row>
    <row r="99" spans="1:4" x14ac:dyDescent="0.25">
      <c r="A99">
        <f t="shared" si="3"/>
        <v>0.16</v>
      </c>
      <c r="B99">
        <f t="shared" si="2"/>
        <v>0.14000000000000001</v>
      </c>
      <c r="C99">
        <f>(1-'SCA Exec Summary'!$D$15)*A99+'SCA Exec Summary'!$D$15*B99</f>
        <v>0.16</v>
      </c>
      <c r="D99">
        <f t="shared" si="4"/>
        <v>6</v>
      </c>
    </row>
    <row r="100" spans="1:4" x14ac:dyDescent="0.25">
      <c r="A100">
        <f t="shared" si="3"/>
        <v>0.18</v>
      </c>
      <c r="B100">
        <f t="shared" si="2"/>
        <v>0.16</v>
      </c>
      <c r="C100">
        <f>(1-'SCA Exec Summary'!$D$15)*A100+'SCA Exec Summary'!$D$15*B100</f>
        <v>0.18</v>
      </c>
      <c r="D100">
        <f t="shared" si="4"/>
        <v>7</v>
      </c>
    </row>
    <row r="101" spans="1:4" x14ac:dyDescent="0.25">
      <c r="A101">
        <f t="shared" si="3"/>
        <v>0.19999999999999998</v>
      </c>
      <c r="B101">
        <f t="shared" si="2"/>
        <v>0.18</v>
      </c>
      <c r="C101">
        <f>(1-'SCA Exec Summary'!$D$15)*A101+'SCA Exec Summary'!$D$15*B101</f>
        <v>0.19999999999999998</v>
      </c>
      <c r="D101">
        <f t="shared" si="4"/>
        <v>8</v>
      </c>
    </row>
    <row r="102" spans="1:4" x14ac:dyDescent="0.25">
      <c r="A102">
        <f t="shared" si="3"/>
        <v>0.21999999999999997</v>
      </c>
      <c r="B102">
        <f t="shared" si="2"/>
        <v>0.19999999999999998</v>
      </c>
      <c r="C102">
        <f>(1-'SCA Exec Summary'!$D$15)*A102+'SCA Exec Summary'!$D$15*B102</f>
        <v>0.21999999999999997</v>
      </c>
      <c r="D102">
        <f t="shared" si="4"/>
        <v>9</v>
      </c>
    </row>
    <row r="103" spans="1:4" x14ac:dyDescent="0.25">
      <c r="A103">
        <f t="shared" si="3"/>
        <v>0.23999999999999996</v>
      </c>
      <c r="B103">
        <f t="shared" si="2"/>
        <v>0.21999999999999997</v>
      </c>
      <c r="C103">
        <f>(1-'SCA Exec Summary'!$D$15)*A103+'SCA Exec Summary'!$D$15*B103</f>
        <v>0.23999999999999996</v>
      </c>
      <c r="D103">
        <f t="shared" si="4"/>
        <v>10</v>
      </c>
    </row>
    <row r="104" spans="1:4" x14ac:dyDescent="0.25">
      <c r="A104">
        <f t="shared" si="3"/>
        <v>0.25999999999999995</v>
      </c>
      <c r="B104">
        <f t="shared" si="2"/>
        <v>0.23999999999999996</v>
      </c>
      <c r="C104">
        <f>(1-'SCA Exec Summary'!$D$15)*A104+'SCA Exec Summary'!$D$15*B104</f>
        <v>0.25999999999999995</v>
      </c>
      <c r="D104">
        <f t="shared" si="4"/>
        <v>11</v>
      </c>
    </row>
    <row r="105" spans="1:4" x14ac:dyDescent="0.25">
      <c r="A105">
        <f>A104+0.03</f>
        <v>0.28999999999999992</v>
      </c>
      <c r="B105">
        <f t="shared" si="2"/>
        <v>0.26999999999999991</v>
      </c>
      <c r="C105">
        <f>(1-'SCA Exec Summary'!$D$15)*A105+'SCA Exec Summary'!$D$15*B105</f>
        <v>0.28999999999999992</v>
      </c>
      <c r="D105">
        <f t="shared" si="4"/>
        <v>12</v>
      </c>
    </row>
    <row r="106" spans="1:4" x14ac:dyDescent="0.25">
      <c r="A106">
        <f t="shared" ref="A106:A108" si="5">A105+0.03</f>
        <v>0.31999999999999995</v>
      </c>
      <c r="B106">
        <f t="shared" si="2"/>
        <v>0.29999999999999993</v>
      </c>
      <c r="C106">
        <f>(1-'SCA Exec Summary'!$D$15)*A106+'SCA Exec Summary'!$D$15*B106</f>
        <v>0.31999999999999995</v>
      </c>
      <c r="D106">
        <f t="shared" si="4"/>
        <v>13</v>
      </c>
    </row>
    <row r="107" spans="1:4" x14ac:dyDescent="0.25">
      <c r="A107">
        <f t="shared" si="5"/>
        <v>0.35</v>
      </c>
      <c r="B107">
        <f t="shared" si="2"/>
        <v>0.32999999999999996</v>
      </c>
      <c r="C107">
        <f>(1-'SCA Exec Summary'!$D$15)*A107+'SCA Exec Summary'!$D$15*B107</f>
        <v>0.35</v>
      </c>
      <c r="D107">
        <f t="shared" si="4"/>
        <v>14</v>
      </c>
    </row>
    <row r="108" spans="1:4" x14ac:dyDescent="0.25">
      <c r="A108">
        <f t="shared" si="5"/>
        <v>0.38</v>
      </c>
      <c r="B108">
        <f t="shared" si="2"/>
        <v>0.36</v>
      </c>
      <c r="C108">
        <f>(1-'SCA Exec Summary'!$D$15)*A108+'SCA Exec Summary'!$D$15*B108</f>
        <v>0.38</v>
      </c>
      <c r="D108">
        <f t="shared" si="4"/>
        <v>15</v>
      </c>
    </row>
    <row r="109" spans="1:4" x14ac:dyDescent="0.25">
      <c r="A109">
        <f t="shared" ref="A109:A110" si="6">A108+0.04</f>
        <v>0.42</v>
      </c>
      <c r="B109">
        <f t="shared" si="2"/>
        <v>0.39999999999999997</v>
      </c>
      <c r="C109">
        <f>(1-'SCA Exec Summary'!$D$15)*A109+'SCA Exec Summary'!$D$15*B109</f>
        <v>0.42</v>
      </c>
      <c r="D109">
        <f t="shared" si="4"/>
        <v>16</v>
      </c>
    </row>
    <row r="110" spans="1:4" x14ac:dyDescent="0.25">
      <c r="A110">
        <f t="shared" si="6"/>
        <v>0.45999999999999996</v>
      </c>
      <c r="B110">
        <f t="shared" si="2"/>
        <v>0.43999999999999995</v>
      </c>
      <c r="C110">
        <f>(1-'SCA Exec Summary'!$D$15)*A110+'SCA Exec Summary'!$D$15*B110</f>
        <v>0.45999999999999996</v>
      </c>
      <c r="D110">
        <f t="shared" si="4"/>
        <v>17</v>
      </c>
    </row>
    <row r="111" spans="1:4" x14ac:dyDescent="0.25">
      <c r="A111">
        <f t="shared" ref="A111" si="7">A110+0.04</f>
        <v>0.49999999999999994</v>
      </c>
      <c r="B111">
        <f t="shared" si="2"/>
        <v>0.47999999999999993</v>
      </c>
      <c r="C111">
        <f>(1-'SCA Exec Summary'!$D$15)*A111+'SCA Exec Summary'!$D$15*B111</f>
        <v>0.49999999999999994</v>
      </c>
      <c r="D111">
        <f t="shared" si="4"/>
        <v>18</v>
      </c>
    </row>
    <row r="113" spans="1:1" x14ac:dyDescent="0.25">
      <c r="A113" t="s">
        <v>821</v>
      </c>
    </row>
    <row r="114" spans="1:1" x14ac:dyDescent="0.25">
      <c r="A114" t="s">
        <v>822</v>
      </c>
    </row>
    <row r="115" spans="1:1" x14ac:dyDescent="0.25">
      <c r="A115">
        <v>1</v>
      </c>
    </row>
    <row r="116" spans="1:1" x14ac:dyDescent="0.25">
      <c r="A116">
        <v>2</v>
      </c>
    </row>
    <row r="120" spans="1:1" x14ac:dyDescent="0.25">
      <c r="A120" t="s">
        <v>996</v>
      </c>
    </row>
    <row r="121" spans="1:1" x14ac:dyDescent="0.25">
      <c r="A121" t="s">
        <v>990</v>
      </c>
    </row>
    <row r="122" spans="1:1" x14ac:dyDescent="0.25">
      <c r="A122" t="s">
        <v>997</v>
      </c>
    </row>
    <row r="123" spans="1:1" x14ac:dyDescent="0.25">
      <c r="A123" t="s">
        <v>998</v>
      </c>
    </row>
    <row r="125" spans="1:1" x14ac:dyDescent="0.25">
      <c r="A125" t="s">
        <v>991</v>
      </c>
    </row>
    <row r="126" spans="1:1" x14ac:dyDescent="0.25">
      <c r="A126" t="s">
        <v>125</v>
      </c>
    </row>
    <row r="127" spans="1:1" x14ac:dyDescent="0.25">
      <c r="A127" t="s">
        <v>124</v>
      </c>
    </row>
    <row r="128" spans="1:1" x14ac:dyDescent="0.25">
      <c r="A128" t="s">
        <v>909</v>
      </c>
    </row>
    <row r="130" spans="1:7" x14ac:dyDescent="0.25">
      <c r="A130" t="s">
        <v>993</v>
      </c>
      <c r="B130" t="str">
        <f>'SCA Ext LPD Process Equ'!D32</f>
        <v>Full Kitchen</v>
      </c>
    </row>
    <row r="131" spans="1:7" x14ac:dyDescent="0.25">
      <c r="A131" t="str">
        <f>IF($B$130="Full Kitchen",B131,IF($B$130="Warming Kitchen",C131,"Select Kitchen Type"))</f>
        <v>401-KIT-EQP-YR</v>
      </c>
      <c r="B131" s="300" t="s">
        <v>1007</v>
      </c>
      <c r="C131" s="300" t="s">
        <v>1005</v>
      </c>
    </row>
    <row r="132" spans="1:7" x14ac:dyDescent="0.25">
      <c r="A132" t="str">
        <f>IF($B$130="Full Kitchen",B132,IF($B$130="Warming Kitchen",C132,""))</f>
        <v>501-KIT-EQP-YR</v>
      </c>
      <c r="B132" s="300" t="s">
        <v>1008</v>
      </c>
      <c r="C132" s="300" t="s">
        <v>1006</v>
      </c>
    </row>
    <row r="133" spans="1:7" x14ac:dyDescent="0.25">
      <c r="A133" t="str">
        <f t="shared" ref="A133:A135" si="8">IF($B$130="Full Kitchen",B133,IF($B$130="Warming Kitchen",C133,""))</f>
        <v>701-KIT-EQP-YR</v>
      </c>
      <c r="B133" s="300" t="s">
        <v>1009</v>
      </c>
    </row>
    <row r="134" spans="1:7" x14ac:dyDescent="0.25">
      <c r="A134" t="str">
        <f t="shared" si="8"/>
        <v>901-KIT-EQP-YR</v>
      </c>
      <c r="B134" s="300" t="s">
        <v>1010</v>
      </c>
    </row>
    <row r="135" spans="1:7" x14ac:dyDescent="0.25">
      <c r="A135" t="str">
        <f t="shared" si="8"/>
        <v>1K-KIT-EQP-YR</v>
      </c>
      <c r="B135" s="300" t="s">
        <v>1011</v>
      </c>
    </row>
    <row r="137" spans="1:7" x14ac:dyDescent="0.25">
      <c r="A137" t="s">
        <v>995</v>
      </c>
      <c r="B137" t="str">
        <f>'SCA Ext LPD Process Equ'!D33</f>
        <v>Electric</v>
      </c>
      <c r="C137" t="str">
        <f>'SCA Ext LPD Process Equ'!D32</f>
        <v>Full Kitchen</v>
      </c>
    </row>
    <row r="138" spans="1:7" x14ac:dyDescent="0.25">
      <c r="A138" t="str">
        <f>IF($C$137="Warming Kitchen","No Source Modeled",IF(B$137="Gas",B138,IF($B$137="Electric",C138,"Select Fuel Type")))</f>
        <v>401-KIT-SRC-E-YR</v>
      </c>
      <c r="B138" t="s">
        <v>999</v>
      </c>
      <c r="C138" t="s">
        <v>1002</v>
      </c>
    </row>
    <row r="139" spans="1:7" x14ac:dyDescent="0.25">
      <c r="A139" t="str">
        <f>IF($C$137="Warming Kitchen","",IF(B$137="Gas",B139,IF($B$137="Electric",C139,"")))</f>
        <v>501-KIT-SRC-E-YR</v>
      </c>
      <c r="B139" t="s">
        <v>1000</v>
      </c>
      <c r="C139" t="s">
        <v>1003</v>
      </c>
    </row>
    <row r="140" spans="1:7" x14ac:dyDescent="0.25">
      <c r="A140" t="str">
        <f>IF($C$137="Warming Kitchen","",IF(B$137="Gas",B140,IF($B$137="Electric",C140,"")))</f>
        <v>1K-KIT-SRC-E-YR</v>
      </c>
      <c r="B140" t="s">
        <v>1001</v>
      </c>
      <c r="C140" t="s">
        <v>1004</v>
      </c>
    </row>
    <row r="143" spans="1:7" x14ac:dyDescent="0.25">
      <c r="A143" t="s">
        <v>1012</v>
      </c>
    </row>
    <row r="144" spans="1:7" x14ac:dyDescent="0.25">
      <c r="A144" t="s">
        <v>1013</v>
      </c>
      <c r="B144" t="s">
        <v>1014</v>
      </c>
      <c r="C144" t="s">
        <v>1015</v>
      </c>
      <c r="D144" t="s">
        <v>1016</v>
      </c>
      <c r="E144" t="s">
        <v>1017</v>
      </c>
      <c r="F144" t="s">
        <v>1019</v>
      </c>
      <c r="G144" t="s">
        <v>1018</v>
      </c>
    </row>
    <row r="145" spans="1:7" x14ac:dyDescent="0.25">
      <c r="A145">
        <v>0</v>
      </c>
      <c r="B145" t="s">
        <v>949</v>
      </c>
      <c r="C145" s="300" t="s">
        <v>949</v>
      </c>
      <c r="D145" t="s">
        <v>949</v>
      </c>
      <c r="E145" t="s">
        <v>949</v>
      </c>
      <c r="F145" t="s">
        <v>949</v>
      </c>
      <c r="G145" t="s">
        <v>949</v>
      </c>
    </row>
    <row r="146" spans="1:7" x14ac:dyDescent="0.25">
      <c r="A146">
        <v>1</v>
      </c>
      <c r="B146">
        <v>35.700000000000003</v>
      </c>
      <c r="C146" s="300" t="s">
        <v>1005</v>
      </c>
    </row>
    <row r="147" spans="1:7" x14ac:dyDescent="0.25">
      <c r="A147">
        <v>301</v>
      </c>
      <c r="B147">
        <v>40.9</v>
      </c>
      <c r="C147" s="300" t="s">
        <v>1006</v>
      </c>
    </row>
    <row r="148" spans="1:7" x14ac:dyDescent="0.25">
      <c r="A148">
        <v>401</v>
      </c>
      <c r="B148">
        <v>31.1</v>
      </c>
      <c r="C148" s="300" t="s">
        <v>1007</v>
      </c>
      <c r="D148">
        <v>310000</v>
      </c>
      <c r="E148">
        <v>249200</v>
      </c>
      <c r="F148" t="s">
        <v>999</v>
      </c>
      <c r="G148" t="s">
        <v>1002</v>
      </c>
    </row>
    <row r="149" spans="1:7" x14ac:dyDescent="0.25">
      <c r="A149">
        <v>501</v>
      </c>
      <c r="B149">
        <v>46.6</v>
      </c>
      <c r="C149" s="300" t="s">
        <v>1008</v>
      </c>
      <c r="D149">
        <v>408000</v>
      </c>
      <c r="E149">
        <v>287300</v>
      </c>
      <c r="F149" t="s">
        <v>1000</v>
      </c>
      <c r="G149" t="s">
        <v>1003</v>
      </c>
    </row>
    <row r="150" spans="1:7" x14ac:dyDescent="0.25">
      <c r="A150">
        <v>701</v>
      </c>
      <c r="B150">
        <v>50.8</v>
      </c>
      <c r="C150" s="300" t="s">
        <v>1009</v>
      </c>
      <c r="D150">
        <v>408000</v>
      </c>
      <c r="E150">
        <v>287300</v>
      </c>
      <c r="F150" t="s">
        <v>1000</v>
      </c>
      <c r="G150" t="s">
        <v>1003</v>
      </c>
    </row>
    <row r="151" spans="1:7" x14ac:dyDescent="0.25">
      <c r="A151">
        <v>901</v>
      </c>
      <c r="B151">
        <v>54.6</v>
      </c>
      <c r="C151" s="300" t="s">
        <v>1010</v>
      </c>
      <c r="D151">
        <v>408000</v>
      </c>
      <c r="E151">
        <v>287300</v>
      </c>
      <c r="F151" t="s">
        <v>1000</v>
      </c>
      <c r="G151" t="s">
        <v>1003</v>
      </c>
    </row>
    <row r="152" spans="1:7" x14ac:dyDescent="0.25">
      <c r="A152">
        <v>1000</v>
      </c>
      <c r="B152">
        <v>65</v>
      </c>
      <c r="C152" s="300" t="s">
        <v>1011</v>
      </c>
      <c r="D152">
        <v>506000</v>
      </c>
      <c r="E152">
        <v>325400</v>
      </c>
      <c r="F152" t="s">
        <v>1001</v>
      </c>
      <c r="G152" t="s">
        <v>1004</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tabColor rgb="FFFFC000"/>
  </sheetPr>
  <dimension ref="A1:A9"/>
  <sheetViews>
    <sheetView view="pageLayout" zoomScaleNormal="100" workbookViewId="0">
      <selection activeCell="C27" sqref="C27:G27"/>
    </sheetView>
  </sheetViews>
  <sheetFormatPr defaultRowHeight="15" x14ac:dyDescent="0.25"/>
  <cols>
    <col min="1" max="1" width="27.7109375" customWidth="1"/>
    <col min="2" max="2" width="3" customWidth="1"/>
  </cols>
  <sheetData>
    <row r="1" spans="1:1" x14ac:dyDescent="0.25">
      <c r="A1" s="62"/>
    </row>
    <row r="2" spans="1:1" x14ac:dyDescent="0.25">
      <c r="A2" s="62"/>
    </row>
    <row r="4" spans="1:1" x14ac:dyDescent="0.25">
      <c r="A4" s="63" t="s">
        <v>433</v>
      </c>
    </row>
    <row r="5" spans="1:1" x14ac:dyDescent="0.25">
      <c r="A5" s="64" t="s">
        <v>434</v>
      </c>
    </row>
    <row r="6" spans="1:1" x14ac:dyDescent="0.25">
      <c r="A6" s="65" t="s">
        <v>435</v>
      </c>
    </row>
    <row r="7" spans="1:1" x14ac:dyDescent="0.25">
      <c r="A7" s="101" t="s">
        <v>692</v>
      </c>
    </row>
    <row r="8" spans="1:1" x14ac:dyDescent="0.25">
      <c r="A8" s="66" t="s">
        <v>436</v>
      </c>
    </row>
    <row r="9" spans="1:1" x14ac:dyDescent="0.25">
      <c r="A9" s="165" t="s">
        <v>437</v>
      </c>
    </row>
  </sheetData>
  <sheetProtection password="C5B9" sheet="1" objects="1" scenarios="1"/>
  <pageMargins left="0.7" right="0.7" top="0.75" bottom="0.75" header="0.3" footer="0.3"/>
  <pageSetup orientation="portrait" verticalDpi="1200" r:id="rId1"/>
  <headerFooter>
    <oddHeader>&amp;L&amp;G&amp;C&amp;G</oddHeader>
    <oddFooter>&amp;RNovember  2016</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8">
    <tabColor rgb="FFFFC000"/>
  </sheetPr>
  <dimension ref="A4:I32"/>
  <sheetViews>
    <sheetView view="pageLayout" topLeftCell="A7" zoomScaleNormal="100" zoomScaleSheetLayoutView="100" workbookViewId="0">
      <selection activeCell="C27" sqref="C27:G27"/>
    </sheetView>
  </sheetViews>
  <sheetFormatPr defaultRowHeight="15" x14ac:dyDescent="0.25"/>
  <cols>
    <col min="1" max="1" width="4" customWidth="1"/>
    <col min="2" max="2" width="24.7109375" customWidth="1"/>
    <col min="3" max="3" width="11" customWidth="1"/>
    <col min="9" max="9" width="20.140625" customWidth="1"/>
  </cols>
  <sheetData>
    <row r="4" spans="1:9" x14ac:dyDescent="0.25">
      <c r="A4" t="s">
        <v>748</v>
      </c>
    </row>
    <row r="5" spans="1:9" x14ac:dyDescent="0.25">
      <c r="A5" s="117"/>
    </row>
    <row r="7" spans="1:9" ht="15.75" thickBot="1" x14ac:dyDescent="0.3">
      <c r="A7" s="157" t="s">
        <v>714</v>
      </c>
    </row>
    <row r="8" spans="1:9" ht="15.75" thickBot="1" x14ac:dyDescent="0.3">
      <c r="A8" s="158">
        <v>1</v>
      </c>
      <c r="B8" s="447" t="s">
        <v>715</v>
      </c>
      <c r="C8" s="448"/>
      <c r="D8" s="448"/>
      <c r="E8" s="448"/>
      <c r="F8" s="448"/>
      <c r="G8" s="448"/>
      <c r="H8" s="449"/>
    </row>
    <row r="9" spans="1:9" ht="15" customHeight="1" thickBot="1" x14ac:dyDescent="0.3">
      <c r="A9" s="456"/>
      <c r="B9" s="160" t="s">
        <v>716</v>
      </c>
      <c r="C9" s="450" t="s">
        <v>717</v>
      </c>
      <c r="D9" s="451"/>
      <c r="E9" s="451"/>
      <c r="F9" s="451"/>
      <c r="G9" s="451"/>
      <c r="H9" s="452"/>
    </row>
    <row r="10" spans="1:9" ht="15.75" thickBot="1" x14ac:dyDescent="0.3">
      <c r="A10" s="457"/>
      <c r="B10" s="160" t="s">
        <v>718</v>
      </c>
      <c r="C10" s="160" t="s">
        <v>719</v>
      </c>
      <c r="D10" s="160" t="s">
        <v>720</v>
      </c>
      <c r="E10" s="461" t="s">
        <v>721</v>
      </c>
      <c r="F10" s="462"/>
      <c r="G10" s="450" t="s">
        <v>722</v>
      </c>
      <c r="H10" s="452"/>
    </row>
    <row r="11" spans="1:9" ht="15" customHeight="1" thickBot="1" x14ac:dyDescent="0.3">
      <c r="A11" s="457"/>
      <c r="B11" s="458" t="s">
        <v>723</v>
      </c>
      <c r="C11" s="460"/>
      <c r="D11" s="460"/>
      <c r="E11" s="459"/>
      <c r="F11" s="450" t="s">
        <v>724</v>
      </c>
      <c r="G11" s="451"/>
      <c r="H11" s="452"/>
    </row>
    <row r="12" spans="1:9" x14ac:dyDescent="0.25">
      <c r="A12" s="159"/>
      <c r="B12" s="159"/>
      <c r="C12" s="159"/>
      <c r="D12" s="159"/>
      <c r="E12" s="159"/>
      <c r="F12" s="159"/>
      <c r="G12" s="159"/>
    </row>
    <row r="13" spans="1:9" x14ac:dyDescent="0.25">
      <c r="A13" s="161"/>
    </row>
    <row r="14" spans="1:9" ht="15.75" thickBot="1" x14ac:dyDescent="0.3">
      <c r="A14" s="161"/>
    </row>
    <row r="15" spans="1:9" ht="15.75" thickBot="1" x14ac:dyDescent="0.3">
      <c r="A15" s="158">
        <v>2</v>
      </c>
      <c r="B15" s="453" t="s">
        <v>725</v>
      </c>
      <c r="C15" s="454"/>
      <c r="D15" s="454"/>
      <c r="E15" s="454"/>
      <c r="F15" s="454"/>
      <c r="G15" s="454"/>
      <c r="H15" s="454"/>
      <c r="I15" s="455"/>
    </row>
    <row r="16" spans="1:9" ht="15.75" thickBot="1" x14ac:dyDescent="0.3">
      <c r="A16" s="456"/>
      <c r="B16" s="458" t="s">
        <v>726</v>
      </c>
      <c r="C16" s="459"/>
      <c r="D16" s="458" t="s">
        <v>727</v>
      </c>
      <c r="E16" s="460"/>
      <c r="F16" s="460"/>
      <c r="G16" s="460"/>
      <c r="H16" s="459"/>
      <c r="I16" s="160" t="s">
        <v>728</v>
      </c>
    </row>
    <row r="17" spans="1:9" ht="15.75" thickBot="1" x14ac:dyDescent="0.3">
      <c r="A17" s="457"/>
      <c r="B17" s="458" t="s">
        <v>729</v>
      </c>
      <c r="C17" s="460"/>
      <c r="D17" s="460"/>
      <c r="E17" s="459"/>
      <c r="F17" s="458" t="s">
        <v>730</v>
      </c>
      <c r="G17" s="460"/>
      <c r="H17" s="460"/>
      <c r="I17" s="459"/>
    </row>
    <row r="18" spans="1:9" ht="15.75" thickBot="1" x14ac:dyDescent="0.3">
      <c r="A18" s="457"/>
      <c r="B18" s="458" t="s">
        <v>731</v>
      </c>
      <c r="C18" s="460"/>
      <c r="D18" s="460"/>
      <c r="E18" s="459"/>
      <c r="F18" s="458" t="s">
        <v>732</v>
      </c>
      <c r="G18" s="460"/>
      <c r="H18" s="460"/>
      <c r="I18" s="459"/>
    </row>
    <row r="19" spans="1:9" ht="15.75" thickBot="1" x14ac:dyDescent="0.3">
      <c r="A19" s="457"/>
      <c r="B19" s="160" t="s">
        <v>733</v>
      </c>
      <c r="C19" s="458" t="s">
        <v>734</v>
      </c>
      <c r="D19" s="459"/>
      <c r="E19" s="458" t="s">
        <v>735</v>
      </c>
      <c r="F19" s="460"/>
      <c r="G19" s="459"/>
      <c r="H19" s="458" t="s">
        <v>736</v>
      </c>
      <c r="I19" s="459"/>
    </row>
    <row r="20" spans="1:9" ht="15.75" thickBot="1" x14ac:dyDescent="0.3">
      <c r="A20" s="457"/>
      <c r="B20" s="458" t="s">
        <v>737</v>
      </c>
      <c r="C20" s="460"/>
      <c r="D20" s="460"/>
      <c r="E20" s="460"/>
      <c r="F20" s="459"/>
      <c r="G20" s="458" t="s">
        <v>738</v>
      </c>
      <c r="H20" s="460"/>
      <c r="I20" s="459"/>
    </row>
    <row r="21" spans="1:9" x14ac:dyDescent="0.25">
      <c r="A21" s="159"/>
      <c r="B21" s="159"/>
      <c r="C21" s="159"/>
      <c r="D21" s="159"/>
      <c r="E21" s="159"/>
      <c r="F21" s="159"/>
      <c r="G21" s="159"/>
      <c r="H21" s="159"/>
      <c r="I21" s="159"/>
    </row>
    <row r="22" spans="1:9" x14ac:dyDescent="0.25">
      <c r="A22" s="161"/>
    </row>
    <row r="23" spans="1:9" ht="15.75" thickBot="1" x14ac:dyDescent="0.3">
      <c r="A23" s="161"/>
    </row>
    <row r="24" spans="1:9" ht="27" customHeight="1" thickBot="1" x14ac:dyDescent="0.3">
      <c r="A24" s="158">
        <v>3</v>
      </c>
      <c r="B24" s="362" t="s">
        <v>739</v>
      </c>
      <c r="C24" s="363"/>
      <c r="D24" s="364"/>
    </row>
    <row r="25" spans="1:9" x14ac:dyDescent="0.25">
      <c r="B25" s="164" t="s">
        <v>743</v>
      </c>
      <c r="C25" s="465"/>
      <c r="D25" s="466"/>
      <c r="F25" s="161"/>
    </row>
    <row r="26" spans="1:9" x14ac:dyDescent="0.25">
      <c r="B26" s="162" t="s">
        <v>740</v>
      </c>
      <c r="C26" s="467"/>
      <c r="D26" s="468"/>
    </row>
    <row r="27" spans="1:9" x14ac:dyDescent="0.25">
      <c r="B27" s="162" t="s">
        <v>745</v>
      </c>
      <c r="C27" s="467"/>
      <c r="D27" s="468"/>
    </row>
    <row r="28" spans="1:9" x14ac:dyDescent="0.25">
      <c r="B28" s="162" t="s">
        <v>744</v>
      </c>
      <c r="C28" s="467"/>
      <c r="D28" s="468"/>
    </row>
    <row r="29" spans="1:9" x14ac:dyDescent="0.25">
      <c r="B29" s="162" t="s">
        <v>746</v>
      </c>
      <c r="C29" s="467"/>
      <c r="D29" s="468"/>
    </row>
    <row r="30" spans="1:9" x14ac:dyDescent="0.25">
      <c r="B30" s="162" t="s">
        <v>741</v>
      </c>
      <c r="C30" s="467"/>
      <c r="D30" s="468"/>
    </row>
    <row r="31" spans="1:9" x14ac:dyDescent="0.25">
      <c r="B31" s="162" t="s">
        <v>747</v>
      </c>
      <c r="C31" s="467"/>
      <c r="D31" s="468"/>
    </row>
    <row r="32" spans="1:9" ht="15.75" thickBot="1" x14ac:dyDescent="0.3">
      <c r="B32" s="163" t="s">
        <v>742</v>
      </c>
      <c r="C32" s="463"/>
      <c r="D32" s="464"/>
    </row>
  </sheetData>
  <mergeCells count="29">
    <mergeCell ref="C32:D32"/>
    <mergeCell ref="C25:D25"/>
    <mergeCell ref="C26:D26"/>
    <mergeCell ref="C27:D27"/>
    <mergeCell ref="C28:D28"/>
    <mergeCell ref="C29:D29"/>
    <mergeCell ref="C30:D30"/>
    <mergeCell ref="C31:D31"/>
    <mergeCell ref="B24:D24"/>
    <mergeCell ref="H19:I19"/>
    <mergeCell ref="B20:F20"/>
    <mergeCell ref="G20:I20"/>
    <mergeCell ref="G10:H10"/>
    <mergeCell ref="F11:H11"/>
    <mergeCell ref="B8:H8"/>
    <mergeCell ref="C9:H9"/>
    <mergeCell ref="B15:I15"/>
    <mergeCell ref="A16:A20"/>
    <mergeCell ref="B16:C16"/>
    <mergeCell ref="D16:H16"/>
    <mergeCell ref="B17:E17"/>
    <mergeCell ref="F17:I17"/>
    <mergeCell ref="B18:E18"/>
    <mergeCell ref="F18:I18"/>
    <mergeCell ref="C19:D19"/>
    <mergeCell ref="E19:G19"/>
    <mergeCell ref="A9:A11"/>
    <mergeCell ref="E10:F10"/>
    <mergeCell ref="B11:E11"/>
  </mergeCells>
  <pageMargins left="0.7" right="0.7" top="0.75" bottom="0.75" header="0.3" footer="0.3"/>
  <pageSetup scale="78" orientation="portrait" r:id="rId1"/>
  <headerFooter>
    <oddHeader>&amp;L&amp;G&amp;C&amp;G</oddHeader>
    <oddFooter>&amp;RNovember 2016</oddFooter>
  </headerFooter>
  <colBreaks count="1" manualBreakCount="1">
    <brk id="9" min="2" max="57" man="1"/>
  </colBreaks>
  <drawing r:id="rId2"/>
  <legacyDrawingHF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
    <tabColor rgb="FFFFC000"/>
  </sheetPr>
  <dimension ref="A3:I22"/>
  <sheetViews>
    <sheetView view="pageLayout" topLeftCell="A4" zoomScaleNormal="115" workbookViewId="0">
      <selection activeCell="I21" sqref="I21"/>
    </sheetView>
  </sheetViews>
  <sheetFormatPr defaultRowHeight="15" x14ac:dyDescent="0.25"/>
  <cols>
    <col min="1" max="1" width="2.85546875" customWidth="1"/>
    <col min="2" max="2" width="10.85546875" customWidth="1"/>
    <col min="3" max="3" width="13.7109375" customWidth="1"/>
    <col min="4" max="4" width="12.42578125" customWidth="1"/>
    <col min="5" max="5" width="10.5703125" customWidth="1"/>
    <col min="6" max="6" width="8.5703125" customWidth="1"/>
    <col min="7" max="7" width="10" customWidth="1"/>
    <col min="8" max="8" width="11.85546875" customWidth="1"/>
    <col min="9" max="9" width="12.7109375" customWidth="1"/>
    <col min="11" max="11" width="2.7109375" customWidth="1"/>
    <col min="12" max="12" width="13.5703125" customWidth="1"/>
    <col min="13" max="13" width="11.42578125" customWidth="1"/>
    <col min="14" max="14" width="12.28515625" customWidth="1"/>
    <col min="17" max="17" width="17.28515625" bestFit="1" customWidth="1"/>
    <col min="18" max="18" width="5" bestFit="1" customWidth="1"/>
  </cols>
  <sheetData>
    <row r="3" spans="1:9" ht="14.45" customHeight="1" x14ac:dyDescent="0.25">
      <c r="A3" s="61">
        <v>3</v>
      </c>
      <c r="B3" s="469" t="s">
        <v>557</v>
      </c>
      <c r="C3" s="469"/>
      <c r="D3" s="469"/>
    </row>
    <row r="4" spans="1:9" ht="19.5" customHeight="1" x14ac:dyDescent="0.25">
      <c r="A4" s="61"/>
      <c r="B4" s="113" t="s">
        <v>558</v>
      </c>
      <c r="C4" s="114"/>
      <c r="D4" s="115"/>
    </row>
    <row r="6" spans="1:9" x14ac:dyDescent="0.25">
      <c r="A6" s="61">
        <v>4</v>
      </c>
      <c r="B6" s="469" t="s">
        <v>119</v>
      </c>
      <c r="C6" s="469"/>
      <c r="D6" s="469"/>
      <c r="E6" s="469"/>
      <c r="F6" s="469"/>
      <c r="G6" s="469"/>
      <c r="H6" s="469"/>
      <c r="I6" s="469"/>
    </row>
    <row r="7" spans="1:9" s="1" customFormat="1" ht="45" customHeight="1" x14ac:dyDescent="0.2">
      <c r="A7" s="474" t="s">
        <v>120</v>
      </c>
      <c r="B7" s="474"/>
      <c r="C7" s="59" t="s">
        <v>346</v>
      </c>
      <c r="D7" s="60" t="s">
        <v>121</v>
      </c>
      <c r="E7" s="60" t="s">
        <v>347</v>
      </c>
      <c r="F7" s="60" t="s">
        <v>121</v>
      </c>
      <c r="G7" s="60" t="s">
        <v>348</v>
      </c>
      <c r="H7" s="60" t="s">
        <v>21</v>
      </c>
      <c r="I7" s="60" t="s">
        <v>123</v>
      </c>
    </row>
    <row r="8" spans="1:9" s="1" customFormat="1" ht="19.149999999999999" customHeight="1" x14ac:dyDescent="0.2">
      <c r="A8" s="474" t="s">
        <v>124</v>
      </c>
      <c r="B8" s="474"/>
      <c r="C8" s="166" t="s">
        <v>981</v>
      </c>
      <c r="D8" s="167"/>
      <c r="E8" s="73"/>
      <c r="F8" s="167"/>
      <c r="G8" s="168"/>
      <c r="H8" s="169"/>
      <c r="I8" s="166" t="s">
        <v>685</v>
      </c>
    </row>
    <row r="9" spans="1:9" s="1" customFormat="1" ht="15" customHeight="1" x14ac:dyDescent="0.2">
      <c r="A9" s="474" t="s">
        <v>125</v>
      </c>
      <c r="B9" s="474"/>
      <c r="C9" s="166" t="s">
        <v>982</v>
      </c>
      <c r="D9" s="167"/>
      <c r="E9" s="73"/>
      <c r="F9" s="167"/>
      <c r="G9" s="168"/>
      <c r="H9" s="169"/>
      <c r="I9" s="166" t="s">
        <v>685</v>
      </c>
    </row>
    <row r="10" spans="1:9" s="1" customFormat="1" ht="18.600000000000001" customHeight="1" x14ac:dyDescent="0.2">
      <c r="A10" s="474" t="s">
        <v>126</v>
      </c>
      <c r="B10" s="474"/>
      <c r="C10" s="166"/>
      <c r="D10" s="166"/>
      <c r="E10" s="73" t="str">
        <f>'4a. Avg. Rotations'!K24</f>
        <v/>
      </c>
      <c r="F10" s="166"/>
      <c r="G10" s="168"/>
      <c r="H10" s="169"/>
      <c r="I10" s="166"/>
    </row>
    <row r="11" spans="1:9" s="1" customFormat="1" ht="15" customHeight="1" x14ac:dyDescent="0.2">
      <c r="A11" s="474" t="s">
        <v>127</v>
      </c>
      <c r="B11" s="474"/>
      <c r="C11" s="166"/>
      <c r="D11" s="166"/>
      <c r="E11" s="73" t="str">
        <f>'4a. Avg. Rotations'!K25</f>
        <v/>
      </c>
      <c r="F11" s="166"/>
      <c r="G11" s="168"/>
      <c r="H11" s="60" t="s">
        <v>683</v>
      </c>
      <c r="I11" s="60" t="s">
        <v>684</v>
      </c>
    </row>
    <row r="12" spans="1:9" s="1" customFormat="1" ht="15" customHeight="1" x14ac:dyDescent="0.2">
      <c r="A12" s="474" t="s">
        <v>128</v>
      </c>
      <c r="B12" s="474"/>
      <c r="C12" s="60"/>
      <c r="D12" s="60"/>
      <c r="E12" s="73" t="str">
        <f>IF(SUM(E8:E11)=0,"",SUM(E8:E11))</f>
        <v/>
      </c>
      <c r="F12" s="60"/>
      <c r="G12" s="73" t="str">
        <f>IF(SUM(G8:G11)=0,"",SUM(G8:G11))</f>
        <v/>
      </c>
      <c r="H12" s="73" t="str">
        <f>IF(E12="","",E12-G12)</f>
        <v/>
      </c>
      <c r="I12" s="73" t="str">
        <f>IF(E12="","",IF(B4="Section 11 ECB",IF(G12&lt;E12,"COMPLIES","DOES NOT COMPLY"),IF(D21&lt;C21,"COMPLIES","DOES NOT COMPLY")))</f>
        <v/>
      </c>
    </row>
    <row r="13" spans="1:9" x14ac:dyDescent="0.25">
      <c r="E13" s="95"/>
    </row>
    <row r="14" spans="1:9" x14ac:dyDescent="0.25">
      <c r="G14" s="71"/>
    </row>
    <row r="15" spans="1:9" ht="20.45" customHeight="1" x14ac:dyDescent="0.25">
      <c r="A15" s="61" t="s">
        <v>441</v>
      </c>
      <c r="B15" s="473" t="s">
        <v>440</v>
      </c>
      <c r="C15" s="473"/>
      <c r="D15" s="473"/>
    </row>
    <row r="16" spans="1:9" ht="22.15" customHeight="1" x14ac:dyDescent="0.25">
      <c r="A16" s="61"/>
      <c r="B16" s="61"/>
      <c r="C16" s="61" t="s">
        <v>447</v>
      </c>
      <c r="D16" s="61" t="s">
        <v>445</v>
      </c>
    </row>
    <row r="17" spans="1:4" ht="24.6" customHeight="1" x14ac:dyDescent="0.25">
      <c r="A17" s="471" t="s">
        <v>444</v>
      </c>
      <c r="B17" s="472"/>
      <c r="C17" s="72">
        <f>IF(D17="","",VLOOKUP(D17,Lists!M11:N19,2))</f>
        <v>0.49</v>
      </c>
      <c r="D17" s="116" t="s">
        <v>451</v>
      </c>
    </row>
    <row r="18" spans="1:4" ht="21.6" customHeight="1" x14ac:dyDescent="0.25">
      <c r="A18" s="470" t="s">
        <v>443</v>
      </c>
      <c r="B18" s="470"/>
      <c r="C18" s="73" t="str">
        <f>IF(B4="Section 11 ECB","",IF(C20="","",C20-C19))</f>
        <v/>
      </c>
      <c r="D18" s="73" t="str">
        <f>IF(B4="Section 11 ECB","",IF(D20="","",D20-D19))</f>
        <v/>
      </c>
    </row>
    <row r="19" spans="1:4" ht="20.45" customHeight="1" x14ac:dyDescent="0.25">
      <c r="A19" s="470" t="s">
        <v>442</v>
      </c>
      <c r="B19" s="470"/>
      <c r="C19" s="170">
        <f>('5. Usage Summary'!C7)*$F$8+('5. Usage Summary'!D7)*$F$9</f>
        <v>0</v>
      </c>
      <c r="D19" s="170">
        <f>('5. Usage Summary'!C7)*$F$8+('5. Usage Summary'!D7)*$F$9</f>
        <v>0</v>
      </c>
    </row>
    <row r="20" spans="1:4" ht="20.45" customHeight="1" x14ac:dyDescent="0.25">
      <c r="A20" s="470" t="s">
        <v>446</v>
      </c>
      <c r="B20" s="470"/>
      <c r="C20" s="73" t="str">
        <f>IF(B4="Section 11 ECB","",E12)</f>
        <v/>
      </c>
      <c r="D20" s="73" t="str">
        <f>IF(B4="Section 11 ECB","",G12)</f>
        <v/>
      </c>
    </row>
    <row r="21" spans="1:4" ht="26.45" customHeight="1" x14ac:dyDescent="0.25">
      <c r="A21" s="470" t="s">
        <v>439</v>
      </c>
      <c r="B21" s="470"/>
      <c r="C21" s="74" t="str">
        <f>IF(C20="","",(C19+(C18*C17))/C20)</f>
        <v/>
      </c>
      <c r="D21" s="74" t="str">
        <f>IF(D20="","",D20/C20)</f>
        <v/>
      </c>
    </row>
    <row r="22" spans="1:4" x14ac:dyDescent="0.25">
      <c r="C22" s="2"/>
    </row>
  </sheetData>
  <sortState xmlns:xlrd2="http://schemas.microsoft.com/office/spreadsheetml/2017/richdata2" ref="Q13:R21">
    <sortCondition ref="Q13"/>
  </sortState>
  <mergeCells count="14">
    <mergeCell ref="B3:D3"/>
    <mergeCell ref="A18:B18"/>
    <mergeCell ref="A19:B19"/>
    <mergeCell ref="A21:B21"/>
    <mergeCell ref="A20:B20"/>
    <mergeCell ref="A17:B17"/>
    <mergeCell ref="B15:D15"/>
    <mergeCell ref="A11:B11"/>
    <mergeCell ref="A12:B12"/>
    <mergeCell ref="B6:I6"/>
    <mergeCell ref="A7:B7"/>
    <mergeCell ref="A8:B8"/>
    <mergeCell ref="A9:B9"/>
    <mergeCell ref="A10:B10"/>
  </mergeCells>
  <pageMargins left="0.7" right="0.7" top="0.75" bottom="0.75" header="0.3" footer="0.3"/>
  <pageSetup scale="96" orientation="portrait" r:id="rId1"/>
  <headerFooter>
    <oddHeader>&amp;L&amp;G&amp;C&amp;G</oddHeader>
    <oddFooter>&amp;RNovember 2016</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Lists!$N$4:$N$5</xm:f>
          </x14:formula1>
          <xm:sqref>B4</xm:sqref>
        </x14:dataValidation>
        <x14:dataValidation type="list" allowBlank="1" showInputMessage="1" showErrorMessage="1" xr:uid="{00000000-0002-0000-1A00-000001000000}">
          <x14:formula1>
            <xm:f>Lists!$M$11:$M$19</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P30"/>
  <sheetViews>
    <sheetView workbookViewId="0">
      <selection activeCell="J31" sqref="J31"/>
    </sheetView>
  </sheetViews>
  <sheetFormatPr defaultRowHeight="15" x14ac:dyDescent="0.25"/>
  <cols>
    <col min="1" max="1" width="12.7109375" customWidth="1"/>
    <col min="7" max="7" width="9.7109375" customWidth="1"/>
  </cols>
  <sheetData>
    <row r="1" spans="1:16" x14ac:dyDescent="0.25">
      <c r="A1" s="338" t="s">
        <v>619</v>
      </c>
      <c r="B1" s="332" t="s">
        <v>620</v>
      </c>
      <c r="C1" s="332"/>
      <c r="D1" s="332"/>
      <c r="E1" s="332" t="s">
        <v>625</v>
      </c>
      <c r="F1" s="332"/>
      <c r="G1" s="332"/>
      <c r="H1" s="333" t="s">
        <v>626</v>
      </c>
      <c r="I1" s="333"/>
      <c r="J1" s="333"/>
      <c r="K1" s="332" t="s">
        <v>627</v>
      </c>
      <c r="L1" s="332"/>
      <c r="M1" s="332"/>
      <c r="N1" s="332" t="s">
        <v>628</v>
      </c>
      <c r="O1" s="332"/>
      <c r="P1" s="332"/>
    </row>
    <row r="2" spans="1:16" x14ac:dyDescent="0.25">
      <c r="A2" s="338"/>
      <c r="B2" s="332" t="s">
        <v>621</v>
      </c>
      <c r="C2" s="332"/>
      <c r="D2" s="332"/>
      <c r="E2" s="332" t="s">
        <v>621</v>
      </c>
      <c r="F2" s="332"/>
      <c r="G2" s="332"/>
      <c r="H2" s="333"/>
      <c r="I2" s="333"/>
      <c r="J2" s="333"/>
      <c r="K2" s="332" t="s">
        <v>621</v>
      </c>
      <c r="L2" s="332"/>
      <c r="M2" s="332"/>
      <c r="N2" s="332" t="s">
        <v>621</v>
      </c>
      <c r="O2" s="332"/>
      <c r="P2" s="332"/>
    </row>
    <row r="3" spans="1:16" x14ac:dyDescent="0.25">
      <c r="A3" s="338"/>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4</v>
      </c>
      <c r="L4">
        <v>11</v>
      </c>
      <c r="M4">
        <v>7</v>
      </c>
      <c r="N4">
        <v>0</v>
      </c>
      <c r="O4">
        <v>0</v>
      </c>
      <c r="P4">
        <v>0</v>
      </c>
    </row>
    <row r="5" spans="1:16" x14ac:dyDescent="0.25">
      <c r="A5" t="s">
        <v>630</v>
      </c>
      <c r="B5">
        <v>0</v>
      </c>
      <c r="C5">
        <v>0</v>
      </c>
      <c r="D5">
        <v>0</v>
      </c>
      <c r="E5">
        <v>5</v>
      </c>
      <c r="F5">
        <v>5</v>
      </c>
      <c r="G5">
        <v>5</v>
      </c>
      <c r="H5" t="s">
        <v>657</v>
      </c>
      <c r="I5" t="s">
        <v>657</v>
      </c>
      <c r="J5" t="s">
        <v>657</v>
      </c>
      <c r="K5">
        <v>5</v>
      </c>
      <c r="L5">
        <v>10</v>
      </c>
      <c r="M5">
        <v>7</v>
      </c>
      <c r="N5">
        <v>0</v>
      </c>
      <c r="O5">
        <v>0</v>
      </c>
      <c r="P5">
        <v>0</v>
      </c>
    </row>
    <row r="6" spans="1:16" x14ac:dyDescent="0.25">
      <c r="A6" t="s">
        <v>631</v>
      </c>
      <c r="B6">
        <v>0</v>
      </c>
      <c r="C6">
        <v>0</v>
      </c>
      <c r="D6">
        <v>0</v>
      </c>
      <c r="E6">
        <v>5</v>
      </c>
      <c r="F6">
        <v>5</v>
      </c>
      <c r="G6">
        <v>5</v>
      </c>
      <c r="H6" t="s">
        <v>657</v>
      </c>
      <c r="I6" t="s">
        <v>657</v>
      </c>
      <c r="J6" t="s">
        <v>657</v>
      </c>
      <c r="K6">
        <v>5</v>
      </c>
      <c r="L6">
        <v>8</v>
      </c>
      <c r="M6">
        <v>7</v>
      </c>
      <c r="N6">
        <v>0</v>
      </c>
      <c r="O6">
        <v>0</v>
      </c>
      <c r="P6">
        <v>0</v>
      </c>
    </row>
    <row r="7" spans="1:16" x14ac:dyDescent="0.25">
      <c r="A7" t="s">
        <v>632</v>
      </c>
      <c r="B7">
        <v>0</v>
      </c>
      <c r="C7">
        <v>0</v>
      </c>
      <c r="D7">
        <v>0</v>
      </c>
      <c r="E7">
        <v>5</v>
      </c>
      <c r="F7">
        <v>5</v>
      </c>
      <c r="G7">
        <v>5</v>
      </c>
      <c r="H7" t="s">
        <v>657</v>
      </c>
      <c r="I7" t="s">
        <v>657</v>
      </c>
      <c r="J7" t="s">
        <v>657</v>
      </c>
      <c r="K7">
        <v>4</v>
      </c>
      <c r="L7">
        <v>6</v>
      </c>
      <c r="M7">
        <v>6</v>
      </c>
      <c r="N7">
        <v>0</v>
      </c>
      <c r="O7">
        <v>0</v>
      </c>
      <c r="P7">
        <v>0</v>
      </c>
    </row>
    <row r="8" spans="1:16" x14ac:dyDescent="0.25">
      <c r="A8" t="s">
        <v>633</v>
      </c>
      <c r="B8">
        <v>0</v>
      </c>
      <c r="C8">
        <v>0</v>
      </c>
      <c r="D8">
        <v>0</v>
      </c>
      <c r="E8">
        <v>5</v>
      </c>
      <c r="F8">
        <v>5</v>
      </c>
      <c r="G8">
        <v>5</v>
      </c>
      <c r="H8" t="s">
        <v>657</v>
      </c>
      <c r="I8" t="s">
        <v>657</v>
      </c>
      <c r="J8" t="s">
        <v>657</v>
      </c>
      <c r="K8">
        <v>4</v>
      </c>
      <c r="L8">
        <v>6</v>
      </c>
      <c r="M8">
        <v>6</v>
      </c>
      <c r="N8">
        <v>0</v>
      </c>
      <c r="O8">
        <v>0</v>
      </c>
      <c r="P8">
        <v>0</v>
      </c>
    </row>
    <row r="9" spans="1:16" x14ac:dyDescent="0.25">
      <c r="A9" t="s">
        <v>634</v>
      </c>
      <c r="B9">
        <v>0</v>
      </c>
      <c r="C9">
        <v>0</v>
      </c>
      <c r="D9">
        <v>0</v>
      </c>
      <c r="E9">
        <v>5</v>
      </c>
      <c r="F9">
        <v>5</v>
      </c>
      <c r="G9">
        <v>5</v>
      </c>
      <c r="H9" t="s">
        <v>657</v>
      </c>
      <c r="I9" t="s">
        <v>657</v>
      </c>
      <c r="J9" t="s">
        <v>657</v>
      </c>
      <c r="K9">
        <v>4</v>
      </c>
      <c r="L9">
        <v>6</v>
      </c>
      <c r="M9">
        <v>6</v>
      </c>
      <c r="N9">
        <v>0</v>
      </c>
      <c r="O9">
        <v>0</v>
      </c>
      <c r="P9">
        <v>0</v>
      </c>
    </row>
    <row r="10" spans="1:16" x14ac:dyDescent="0.25">
      <c r="A10" t="s">
        <v>635</v>
      </c>
      <c r="B10">
        <v>0</v>
      </c>
      <c r="C10">
        <v>0</v>
      </c>
      <c r="D10">
        <v>0</v>
      </c>
      <c r="E10">
        <v>5</v>
      </c>
      <c r="F10">
        <v>5</v>
      </c>
      <c r="G10">
        <v>5</v>
      </c>
      <c r="H10" t="s">
        <v>658</v>
      </c>
      <c r="I10" t="s">
        <v>658</v>
      </c>
      <c r="J10" t="s">
        <v>657</v>
      </c>
      <c r="K10">
        <v>4</v>
      </c>
      <c r="L10">
        <v>7</v>
      </c>
      <c r="M10">
        <v>7</v>
      </c>
      <c r="N10">
        <v>0</v>
      </c>
      <c r="O10">
        <v>0</v>
      </c>
      <c r="P10">
        <v>0</v>
      </c>
    </row>
    <row r="11" spans="1:16" x14ac:dyDescent="0.25">
      <c r="A11" t="s">
        <v>636</v>
      </c>
      <c r="B11">
        <v>10</v>
      </c>
      <c r="C11">
        <v>10</v>
      </c>
      <c r="D11">
        <v>0</v>
      </c>
      <c r="E11">
        <v>20</v>
      </c>
      <c r="F11">
        <v>10</v>
      </c>
      <c r="G11">
        <v>5</v>
      </c>
      <c r="H11" t="s">
        <v>658</v>
      </c>
      <c r="I11" t="s">
        <v>658</v>
      </c>
      <c r="J11" t="s">
        <v>657</v>
      </c>
      <c r="K11">
        <v>15</v>
      </c>
      <c r="L11">
        <v>20</v>
      </c>
      <c r="M11">
        <v>10</v>
      </c>
      <c r="N11">
        <v>12</v>
      </c>
      <c r="O11">
        <v>9</v>
      </c>
      <c r="P11">
        <v>0</v>
      </c>
    </row>
    <row r="12" spans="1:16" x14ac:dyDescent="0.25">
      <c r="A12" t="s">
        <v>637</v>
      </c>
      <c r="B12">
        <v>20</v>
      </c>
      <c r="C12">
        <v>20</v>
      </c>
      <c r="D12">
        <v>0</v>
      </c>
      <c r="E12">
        <v>50</v>
      </c>
      <c r="F12">
        <v>30</v>
      </c>
      <c r="G12">
        <v>10</v>
      </c>
      <c r="H12" t="s">
        <v>658</v>
      </c>
      <c r="I12" t="s">
        <v>658</v>
      </c>
      <c r="J12" t="s">
        <v>658</v>
      </c>
      <c r="K12">
        <v>23</v>
      </c>
      <c r="L12">
        <v>24</v>
      </c>
      <c r="M12">
        <v>12</v>
      </c>
      <c r="N12">
        <v>22</v>
      </c>
      <c r="O12">
        <v>21</v>
      </c>
      <c r="P12">
        <v>0</v>
      </c>
    </row>
    <row r="13" spans="1:16" x14ac:dyDescent="0.25">
      <c r="A13" t="s">
        <v>638</v>
      </c>
      <c r="B13">
        <v>50</v>
      </c>
      <c r="C13">
        <v>50</v>
      </c>
      <c r="D13">
        <v>10</v>
      </c>
      <c r="E13" t="s">
        <v>675</v>
      </c>
      <c r="F13" t="s">
        <v>673</v>
      </c>
      <c r="G13">
        <v>10</v>
      </c>
      <c r="H13" t="s">
        <v>658</v>
      </c>
      <c r="I13" t="s">
        <v>658</v>
      </c>
      <c r="J13" t="s">
        <v>658</v>
      </c>
      <c r="K13">
        <v>32</v>
      </c>
      <c r="L13">
        <v>27</v>
      </c>
      <c r="M13">
        <v>14</v>
      </c>
      <c r="N13">
        <v>64</v>
      </c>
      <c r="O13">
        <v>56</v>
      </c>
      <c r="P13">
        <v>11</v>
      </c>
    </row>
    <row r="14" spans="1:16" x14ac:dyDescent="0.25">
      <c r="A14" t="s">
        <v>639</v>
      </c>
      <c r="B14">
        <v>50</v>
      </c>
      <c r="C14">
        <v>60</v>
      </c>
      <c r="D14">
        <v>20</v>
      </c>
      <c r="E14" t="s">
        <v>675</v>
      </c>
      <c r="F14" t="s">
        <v>675</v>
      </c>
      <c r="G14">
        <v>40</v>
      </c>
      <c r="H14" t="s">
        <v>658</v>
      </c>
      <c r="I14" t="s">
        <v>658</v>
      </c>
      <c r="J14" t="s">
        <v>658</v>
      </c>
      <c r="K14">
        <v>41</v>
      </c>
      <c r="L14">
        <v>42</v>
      </c>
      <c r="M14">
        <v>29</v>
      </c>
      <c r="N14">
        <v>74</v>
      </c>
      <c r="O14">
        <v>66</v>
      </c>
      <c r="P14">
        <v>13</v>
      </c>
    </row>
    <row r="15" spans="1:16" x14ac:dyDescent="0.25">
      <c r="A15" t="s">
        <v>640</v>
      </c>
      <c r="B15">
        <v>70</v>
      </c>
      <c r="C15">
        <v>80</v>
      </c>
      <c r="D15">
        <v>20</v>
      </c>
      <c r="E15" t="s">
        <v>675</v>
      </c>
      <c r="F15" t="s">
        <v>675</v>
      </c>
      <c r="G15">
        <v>40</v>
      </c>
      <c r="H15" t="s">
        <v>658</v>
      </c>
      <c r="I15" t="s">
        <v>658</v>
      </c>
      <c r="J15" t="s">
        <v>658</v>
      </c>
      <c r="K15">
        <v>57</v>
      </c>
      <c r="L15">
        <v>54</v>
      </c>
      <c r="M15">
        <v>31</v>
      </c>
      <c r="N15">
        <v>68</v>
      </c>
      <c r="O15">
        <v>68</v>
      </c>
      <c r="P15">
        <v>35</v>
      </c>
    </row>
    <row r="16" spans="1:16" x14ac:dyDescent="0.25">
      <c r="A16" t="s">
        <v>641</v>
      </c>
      <c r="B16">
        <v>70</v>
      </c>
      <c r="C16">
        <v>80</v>
      </c>
      <c r="D16">
        <v>40</v>
      </c>
      <c r="E16" t="s">
        <v>675</v>
      </c>
      <c r="F16" t="s">
        <v>675</v>
      </c>
      <c r="G16" t="s">
        <v>673</v>
      </c>
      <c r="H16" t="s">
        <v>658</v>
      </c>
      <c r="I16" t="s">
        <v>658</v>
      </c>
      <c r="J16" t="s">
        <v>658</v>
      </c>
      <c r="K16">
        <v>62</v>
      </c>
      <c r="L16">
        <v>59</v>
      </c>
      <c r="M16">
        <v>36</v>
      </c>
      <c r="N16">
        <v>68</v>
      </c>
      <c r="O16">
        <v>68</v>
      </c>
      <c r="P16">
        <v>37</v>
      </c>
    </row>
    <row r="17" spans="1:16" x14ac:dyDescent="0.25">
      <c r="A17" t="s">
        <v>642</v>
      </c>
      <c r="B17">
        <v>70</v>
      </c>
      <c r="C17">
        <v>80</v>
      </c>
      <c r="D17">
        <v>40</v>
      </c>
      <c r="E17" t="s">
        <v>675</v>
      </c>
      <c r="F17" t="s">
        <v>675</v>
      </c>
      <c r="G17" t="s">
        <v>673</v>
      </c>
      <c r="H17" t="s">
        <v>658</v>
      </c>
      <c r="I17" t="s">
        <v>658</v>
      </c>
      <c r="J17" t="s">
        <v>658</v>
      </c>
      <c r="K17">
        <v>61</v>
      </c>
      <c r="L17">
        <v>60</v>
      </c>
      <c r="M17">
        <v>36</v>
      </c>
      <c r="N17">
        <v>71</v>
      </c>
      <c r="O17">
        <v>69</v>
      </c>
      <c r="P17">
        <v>37</v>
      </c>
    </row>
    <row r="18" spans="1:16" x14ac:dyDescent="0.25">
      <c r="A18" t="s">
        <v>643</v>
      </c>
      <c r="B18">
        <v>70</v>
      </c>
      <c r="C18">
        <v>80</v>
      </c>
      <c r="D18">
        <v>40</v>
      </c>
      <c r="E18" t="s">
        <v>675</v>
      </c>
      <c r="F18" t="s">
        <v>675</v>
      </c>
      <c r="G18" t="s">
        <v>673</v>
      </c>
      <c r="H18" t="s">
        <v>658</v>
      </c>
      <c r="I18" t="s">
        <v>658</v>
      </c>
      <c r="J18" t="s">
        <v>658</v>
      </c>
      <c r="K18">
        <v>50</v>
      </c>
      <c r="L18">
        <v>49</v>
      </c>
      <c r="M18">
        <v>34</v>
      </c>
      <c r="N18">
        <v>72</v>
      </c>
      <c r="O18">
        <v>70</v>
      </c>
      <c r="P18">
        <v>39</v>
      </c>
    </row>
    <row r="19" spans="1:16" x14ac:dyDescent="0.25">
      <c r="A19" t="s">
        <v>644</v>
      </c>
      <c r="B19">
        <v>80</v>
      </c>
      <c r="C19">
        <v>80</v>
      </c>
      <c r="D19">
        <v>40</v>
      </c>
      <c r="E19" t="s">
        <v>675</v>
      </c>
      <c r="F19" t="s">
        <v>675</v>
      </c>
      <c r="G19" t="s">
        <v>673</v>
      </c>
      <c r="H19" t="s">
        <v>658</v>
      </c>
      <c r="I19" t="s">
        <v>658</v>
      </c>
      <c r="J19" t="s">
        <v>658</v>
      </c>
      <c r="K19">
        <v>45</v>
      </c>
      <c r="L19">
        <v>48</v>
      </c>
      <c r="M19">
        <v>35</v>
      </c>
      <c r="N19">
        <v>72</v>
      </c>
      <c r="O19">
        <v>69</v>
      </c>
      <c r="P19">
        <v>41</v>
      </c>
    </row>
    <row r="20" spans="1:16" x14ac:dyDescent="0.25">
      <c r="A20" t="s">
        <v>645</v>
      </c>
      <c r="B20">
        <v>70</v>
      </c>
      <c r="C20">
        <v>80</v>
      </c>
      <c r="D20">
        <v>40</v>
      </c>
      <c r="E20" t="s">
        <v>675</v>
      </c>
      <c r="F20" t="s">
        <v>675</v>
      </c>
      <c r="G20" t="s">
        <v>673</v>
      </c>
      <c r="H20" t="s">
        <v>658</v>
      </c>
      <c r="I20" t="s">
        <v>658</v>
      </c>
      <c r="J20" t="s">
        <v>658</v>
      </c>
      <c r="K20">
        <v>46</v>
      </c>
      <c r="L20">
        <v>47</v>
      </c>
      <c r="M20">
        <v>37</v>
      </c>
      <c r="N20">
        <v>73</v>
      </c>
      <c r="O20">
        <v>66</v>
      </c>
      <c r="P20">
        <v>38</v>
      </c>
    </row>
    <row r="21" spans="1:16" x14ac:dyDescent="0.25">
      <c r="A21" t="s">
        <v>646</v>
      </c>
      <c r="B21">
        <v>50</v>
      </c>
      <c r="C21">
        <v>60</v>
      </c>
      <c r="D21">
        <v>20</v>
      </c>
      <c r="E21" t="s">
        <v>675</v>
      </c>
      <c r="F21" t="s">
        <v>675</v>
      </c>
      <c r="G21">
        <v>40</v>
      </c>
      <c r="H21" t="s">
        <v>658</v>
      </c>
      <c r="I21" t="s">
        <v>658</v>
      </c>
      <c r="J21" t="s">
        <v>657</v>
      </c>
      <c r="K21">
        <v>47</v>
      </c>
      <c r="L21">
        <v>46</v>
      </c>
      <c r="M21">
        <v>34</v>
      </c>
      <c r="N21">
        <v>68</v>
      </c>
      <c r="O21">
        <v>58</v>
      </c>
      <c r="P21">
        <v>34</v>
      </c>
    </row>
    <row r="22" spans="1:16" x14ac:dyDescent="0.25">
      <c r="A22" t="s">
        <v>647</v>
      </c>
      <c r="B22">
        <v>50</v>
      </c>
      <c r="C22">
        <v>20</v>
      </c>
      <c r="D22">
        <v>10</v>
      </c>
      <c r="E22" t="s">
        <v>673</v>
      </c>
      <c r="F22">
        <v>50</v>
      </c>
      <c r="G22">
        <v>20</v>
      </c>
      <c r="H22" t="s">
        <v>658</v>
      </c>
      <c r="I22" t="s">
        <v>658</v>
      </c>
      <c r="J22" t="s">
        <v>657</v>
      </c>
      <c r="K22">
        <v>42</v>
      </c>
      <c r="L22">
        <v>44</v>
      </c>
      <c r="M22">
        <v>25</v>
      </c>
      <c r="N22">
        <v>68</v>
      </c>
      <c r="O22">
        <v>47</v>
      </c>
      <c r="P22">
        <v>3</v>
      </c>
    </row>
    <row r="23" spans="1:16" x14ac:dyDescent="0.25">
      <c r="A23" t="s">
        <v>648</v>
      </c>
      <c r="B23">
        <v>30</v>
      </c>
      <c r="C23">
        <v>20</v>
      </c>
      <c r="D23">
        <v>0</v>
      </c>
      <c r="E23" t="s">
        <v>673</v>
      </c>
      <c r="F23">
        <v>30</v>
      </c>
      <c r="G23">
        <v>5</v>
      </c>
      <c r="H23" t="s">
        <v>658</v>
      </c>
      <c r="I23" t="s">
        <v>658</v>
      </c>
      <c r="J23" t="s">
        <v>657</v>
      </c>
      <c r="K23">
        <v>34</v>
      </c>
      <c r="L23">
        <v>36</v>
      </c>
      <c r="M23">
        <v>27</v>
      </c>
      <c r="N23">
        <v>58</v>
      </c>
      <c r="O23">
        <v>43</v>
      </c>
      <c r="P23">
        <v>0</v>
      </c>
    </row>
    <row r="24" spans="1:16" x14ac:dyDescent="0.25">
      <c r="A24" t="s">
        <v>649</v>
      </c>
      <c r="B24">
        <v>30</v>
      </c>
      <c r="C24">
        <v>20</v>
      </c>
      <c r="D24">
        <v>0</v>
      </c>
      <c r="E24">
        <v>50</v>
      </c>
      <c r="F24">
        <v>30</v>
      </c>
      <c r="G24">
        <v>5</v>
      </c>
      <c r="H24" t="s">
        <v>658</v>
      </c>
      <c r="I24" t="s">
        <v>658</v>
      </c>
      <c r="J24" t="s">
        <v>657</v>
      </c>
      <c r="K24">
        <v>33</v>
      </c>
      <c r="L24">
        <v>29</v>
      </c>
      <c r="M24">
        <v>21</v>
      </c>
      <c r="N24">
        <v>54</v>
      </c>
      <c r="O24">
        <v>43</v>
      </c>
      <c r="P24">
        <v>0</v>
      </c>
    </row>
    <row r="25" spans="1:16" x14ac:dyDescent="0.25">
      <c r="A25" t="s">
        <v>650</v>
      </c>
      <c r="B25">
        <v>0</v>
      </c>
      <c r="C25">
        <v>10</v>
      </c>
      <c r="D25">
        <v>0</v>
      </c>
      <c r="E25">
        <v>20</v>
      </c>
      <c r="F25">
        <v>10</v>
      </c>
      <c r="G25">
        <v>5</v>
      </c>
      <c r="H25" t="s">
        <v>657</v>
      </c>
      <c r="I25" t="s">
        <v>658</v>
      </c>
      <c r="J25" t="s">
        <v>657</v>
      </c>
      <c r="K25">
        <v>23</v>
      </c>
      <c r="L25">
        <v>22</v>
      </c>
      <c r="M25">
        <v>16</v>
      </c>
      <c r="N25">
        <v>0</v>
      </c>
      <c r="O25">
        <v>8</v>
      </c>
      <c r="P25">
        <v>0</v>
      </c>
    </row>
    <row r="26" spans="1:16" x14ac:dyDescent="0.25">
      <c r="A26" t="s">
        <v>651</v>
      </c>
      <c r="B26">
        <v>0</v>
      </c>
      <c r="C26">
        <v>0</v>
      </c>
      <c r="D26">
        <v>0</v>
      </c>
      <c r="E26">
        <v>5</v>
      </c>
      <c r="F26">
        <v>5</v>
      </c>
      <c r="G26">
        <v>5</v>
      </c>
      <c r="H26" t="s">
        <v>657</v>
      </c>
      <c r="I26" t="s">
        <v>657</v>
      </c>
      <c r="J26" t="s">
        <v>657</v>
      </c>
      <c r="K26">
        <v>13</v>
      </c>
      <c r="L26">
        <v>16</v>
      </c>
      <c r="M26">
        <v>10</v>
      </c>
      <c r="N26">
        <v>0</v>
      </c>
      <c r="O26">
        <v>0</v>
      </c>
      <c r="P26">
        <v>0</v>
      </c>
    </row>
    <row r="27" spans="1:16" x14ac:dyDescent="0.25">
      <c r="A27" t="s">
        <v>652</v>
      </c>
      <c r="B27">
        <v>0</v>
      </c>
      <c r="C27">
        <v>0</v>
      </c>
      <c r="D27">
        <v>0</v>
      </c>
      <c r="E27">
        <v>5</v>
      </c>
      <c r="F27">
        <v>5</v>
      </c>
      <c r="G27">
        <v>5</v>
      </c>
      <c r="H27" t="s">
        <v>657</v>
      </c>
      <c r="I27" t="s">
        <v>657</v>
      </c>
      <c r="J27" t="s">
        <v>657</v>
      </c>
      <c r="K27">
        <v>8</v>
      </c>
      <c r="L27">
        <v>13</v>
      </c>
      <c r="M27">
        <v>6</v>
      </c>
      <c r="N27">
        <v>0</v>
      </c>
      <c r="O27">
        <v>0</v>
      </c>
      <c r="P27">
        <v>0</v>
      </c>
    </row>
    <row r="28" spans="1:16" x14ac:dyDescent="0.25">
      <c r="A28" t="s">
        <v>659</v>
      </c>
      <c r="B28">
        <f>SUM(B4:B27)</f>
        <v>720</v>
      </c>
      <c r="C28">
        <f t="shared" ref="C28:P28" si="0">SUM(C4:C27)</f>
        <v>750</v>
      </c>
      <c r="D28">
        <f t="shared" si="0"/>
        <v>280</v>
      </c>
      <c r="E28" t="s">
        <v>674</v>
      </c>
      <c r="F28" t="s">
        <v>676</v>
      </c>
      <c r="G28" t="s">
        <v>677</v>
      </c>
      <c r="H28">
        <v>1500</v>
      </c>
      <c r="I28">
        <v>1600</v>
      </c>
      <c r="J28">
        <v>900</v>
      </c>
      <c r="K28">
        <f t="shared" si="0"/>
        <v>662</v>
      </c>
      <c r="L28">
        <f t="shared" si="0"/>
        <v>690</v>
      </c>
      <c r="M28">
        <f t="shared" si="0"/>
        <v>459</v>
      </c>
      <c r="N28">
        <f t="shared" si="0"/>
        <v>844</v>
      </c>
      <c r="O28">
        <f t="shared" si="0"/>
        <v>761</v>
      </c>
      <c r="P28">
        <f t="shared" si="0"/>
        <v>288</v>
      </c>
    </row>
    <row r="29" spans="1:16" x14ac:dyDescent="0.25">
      <c r="A29" t="s">
        <v>660</v>
      </c>
      <c r="B29" s="339">
        <f>((B28/100)*5+C28/100+D28/100)</f>
        <v>46.3</v>
      </c>
      <c r="C29" s="339"/>
      <c r="D29" s="339"/>
      <c r="E29" s="340" t="s">
        <v>678</v>
      </c>
      <c r="F29" s="339"/>
      <c r="G29" s="339"/>
      <c r="H29" s="335">
        <f>((H28/100)*5+I28/100+J28/100)</f>
        <v>100</v>
      </c>
      <c r="I29" s="335"/>
      <c r="J29" s="335"/>
      <c r="K29" s="339">
        <f>((K28/100)*5+L28/100+M28/100)</f>
        <v>44.59</v>
      </c>
      <c r="L29" s="339"/>
      <c r="M29" s="339"/>
      <c r="N29" s="339">
        <f>((N28/100)*5+O28/100+P28/100)</f>
        <v>52.69</v>
      </c>
      <c r="O29" s="339"/>
      <c r="P29" s="339"/>
    </row>
    <row r="30" spans="1:16" x14ac:dyDescent="0.25">
      <c r="A30" t="s">
        <v>661</v>
      </c>
      <c r="B30" s="335">
        <f>B29*52.14</f>
        <v>2414.0819999999999</v>
      </c>
      <c r="C30" s="335"/>
      <c r="D30" s="335"/>
      <c r="E30" s="337" t="s">
        <v>679</v>
      </c>
      <c r="F30" s="335"/>
      <c r="G30" s="335"/>
      <c r="H30" s="335">
        <f>H29*52.14</f>
        <v>5214</v>
      </c>
      <c r="I30" s="335"/>
      <c r="J30" s="335"/>
      <c r="K30" s="335">
        <f>K29*52.14</f>
        <v>2324.9226000000003</v>
      </c>
      <c r="L30" s="335"/>
      <c r="M30" s="335"/>
      <c r="N30" s="335">
        <f>N29*52.14</f>
        <v>2747.2565999999997</v>
      </c>
      <c r="O30" s="335"/>
      <c r="P30" s="335"/>
    </row>
  </sheetData>
  <mergeCells count="20">
    <mergeCell ref="N1:P1"/>
    <mergeCell ref="B2:D2"/>
    <mergeCell ref="E2:G2"/>
    <mergeCell ref="K2:M2"/>
    <mergeCell ref="N2:P2"/>
    <mergeCell ref="A1:A3"/>
    <mergeCell ref="B1:D1"/>
    <mergeCell ref="E1:G1"/>
    <mergeCell ref="H1:J2"/>
    <mergeCell ref="K1:M1"/>
    <mergeCell ref="B30:D30"/>
    <mergeCell ref="E30:G30"/>
    <mergeCell ref="H30:J30"/>
    <mergeCell ref="K30:M30"/>
    <mergeCell ref="N30:P30"/>
    <mergeCell ref="B29:D29"/>
    <mergeCell ref="E29:G29"/>
    <mergeCell ref="H29:J29"/>
    <mergeCell ref="K29:M29"/>
    <mergeCell ref="N29:P29"/>
  </mergeCell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A2:M27"/>
  <sheetViews>
    <sheetView view="pageLayout" topLeftCell="A4" zoomScaleNormal="100" workbookViewId="0">
      <selection activeCell="C24" sqref="C24:D24"/>
    </sheetView>
  </sheetViews>
  <sheetFormatPr defaultRowHeight="15" x14ac:dyDescent="0.25"/>
  <cols>
    <col min="1" max="1" width="2.5703125" customWidth="1"/>
  </cols>
  <sheetData>
    <row r="2" spans="1:13" x14ac:dyDescent="0.25">
      <c r="A2" s="344" t="s">
        <v>713</v>
      </c>
      <c r="B2" s="344"/>
      <c r="C2" s="344"/>
      <c r="D2" s="344"/>
      <c r="E2" s="344"/>
      <c r="F2" s="344"/>
      <c r="G2" s="344"/>
      <c r="H2" s="344"/>
      <c r="I2" s="344"/>
      <c r="J2" s="344"/>
      <c r="K2" s="344"/>
      <c r="L2" s="344"/>
      <c r="M2" s="344"/>
    </row>
    <row r="3" spans="1:13" ht="33.6" customHeight="1" x14ac:dyDescent="0.25">
      <c r="A3" s="345"/>
      <c r="B3" s="345"/>
      <c r="C3" s="345"/>
      <c r="D3" s="345"/>
      <c r="E3" s="345"/>
      <c r="F3" s="345"/>
      <c r="G3" s="345"/>
      <c r="H3" s="345"/>
      <c r="I3" s="345"/>
      <c r="J3" s="345"/>
      <c r="K3" s="345"/>
      <c r="L3" s="345"/>
      <c r="M3" s="345"/>
    </row>
    <row r="4" spans="1:13" ht="14.45" customHeight="1" x14ac:dyDescent="0.25">
      <c r="A4" s="34" t="s">
        <v>702</v>
      </c>
      <c r="B4" s="346" t="s">
        <v>703</v>
      </c>
      <c r="C4" s="347"/>
      <c r="D4" s="347"/>
      <c r="E4" s="347"/>
      <c r="F4" s="347"/>
      <c r="G4" s="347"/>
      <c r="H4" s="347"/>
      <c r="I4" s="347"/>
      <c r="J4" s="347"/>
      <c r="K4" s="347"/>
      <c r="L4" s="347"/>
      <c r="M4" s="475"/>
    </row>
    <row r="5" spans="1:13" ht="14.45" customHeight="1" x14ac:dyDescent="0.25">
      <c r="A5" s="348" t="s">
        <v>130</v>
      </c>
      <c r="B5" s="349"/>
      <c r="C5" s="349"/>
      <c r="D5" s="349"/>
      <c r="E5" s="349"/>
      <c r="F5" s="349"/>
      <c r="G5" s="349"/>
      <c r="H5" s="349"/>
      <c r="I5" s="349"/>
      <c r="J5" s="349"/>
      <c r="K5" s="349"/>
      <c r="L5" s="349"/>
      <c r="M5" s="389"/>
    </row>
    <row r="6" spans="1:13" ht="45" x14ac:dyDescent="0.25">
      <c r="A6" s="350"/>
      <c r="B6" s="350"/>
      <c r="C6" s="351" t="s">
        <v>704</v>
      </c>
      <c r="D6" s="352"/>
      <c r="E6" s="351" t="s">
        <v>705</v>
      </c>
      <c r="F6" s="352"/>
      <c r="G6" s="351" t="s">
        <v>706</v>
      </c>
      <c r="H6" s="352"/>
      <c r="I6" s="351" t="s">
        <v>707</v>
      </c>
      <c r="J6" s="352"/>
      <c r="K6" s="351" t="s">
        <v>708</v>
      </c>
      <c r="L6" s="352"/>
      <c r="M6" s="33" t="s">
        <v>133</v>
      </c>
    </row>
    <row r="7" spans="1:13" ht="14.45" customHeight="1" x14ac:dyDescent="0.25">
      <c r="A7" s="351" t="s">
        <v>709</v>
      </c>
      <c r="B7" s="354"/>
      <c r="C7" s="354"/>
      <c r="D7" s="354"/>
      <c r="E7" s="354"/>
      <c r="F7" s="354"/>
      <c r="G7" s="354"/>
      <c r="H7" s="354"/>
      <c r="I7" s="354"/>
      <c r="J7" s="354"/>
      <c r="K7" s="354"/>
      <c r="L7" s="354"/>
      <c r="M7" s="352"/>
    </row>
    <row r="8" spans="1:13" x14ac:dyDescent="0.25">
      <c r="A8" s="106"/>
      <c r="B8" s="107"/>
      <c r="C8" s="105" t="s">
        <v>710</v>
      </c>
      <c r="D8" s="105" t="s">
        <v>711</v>
      </c>
      <c r="E8" s="105" t="s">
        <v>710</v>
      </c>
      <c r="F8" s="105" t="s">
        <v>711</v>
      </c>
      <c r="G8" s="105" t="s">
        <v>710</v>
      </c>
      <c r="H8" s="105" t="s">
        <v>711</v>
      </c>
      <c r="I8" s="105" t="s">
        <v>710</v>
      </c>
      <c r="J8" s="105" t="s">
        <v>711</v>
      </c>
      <c r="K8" s="105" t="s">
        <v>710</v>
      </c>
      <c r="L8" s="105" t="s">
        <v>711</v>
      </c>
      <c r="M8" s="108"/>
    </row>
    <row r="9" spans="1:13" x14ac:dyDescent="0.25">
      <c r="A9" s="350" t="s">
        <v>134</v>
      </c>
      <c r="B9" s="350"/>
      <c r="C9" s="118">
        <v>2000</v>
      </c>
      <c r="D9" s="118"/>
      <c r="E9" s="118"/>
      <c r="F9" s="118"/>
      <c r="G9" s="118"/>
      <c r="H9" s="118"/>
      <c r="I9" s="119"/>
      <c r="J9" s="119"/>
      <c r="K9" s="126">
        <f>IF(E9="",C9,AVERAGE(C9,E9,G9,I9))</f>
        <v>2000</v>
      </c>
      <c r="L9" s="126">
        <f>IF(F9="",D9,AVERAGE(D9,F9,H9,J9))</f>
        <v>0</v>
      </c>
      <c r="M9" s="120" t="s">
        <v>689</v>
      </c>
    </row>
    <row r="10" spans="1:13" x14ac:dyDescent="0.25">
      <c r="A10" s="350" t="s">
        <v>135</v>
      </c>
      <c r="B10" s="350"/>
      <c r="C10" s="118"/>
      <c r="D10" s="118">
        <v>60</v>
      </c>
      <c r="E10" s="118"/>
      <c r="F10" s="118"/>
      <c r="G10" s="118"/>
      <c r="H10" s="118"/>
      <c r="I10" s="119"/>
      <c r="J10" s="119"/>
      <c r="K10" s="126">
        <f t="shared" ref="K10:K18" si="0">IF(E10="",C10,AVERAGE(C10,E10,G10,I10))</f>
        <v>0</v>
      </c>
      <c r="L10" s="126">
        <f t="shared" ref="L10:L18" si="1">IF(F10="",D10,AVERAGE(D10,F10,H10,J10))</f>
        <v>60</v>
      </c>
      <c r="M10" s="120" t="s">
        <v>689</v>
      </c>
    </row>
    <row r="11" spans="1:13" x14ac:dyDescent="0.25">
      <c r="A11" s="350" t="s">
        <v>136</v>
      </c>
      <c r="B11" s="350"/>
      <c r="C11" s="118"/>
      <c r="D11" s="118"/>
      <c r="E11" s="118"/>
      <c r="F11" s="118"/>
      <c r="G11" s="118"/>
      <c r="H11" s="118"/>
      <c r="I11" s="119"/>
      <c r="J11" s="119"/>
      <c r="K11" s="126">
        <f t="shared" si="0"/>
        <v>0</v>
      </c>
      <c r="L11" s="126">
        <f t="shared" si="1"/>
        <v>0</v>
      </c>
      <c r="M11" s="120" t="s">
        <v>689</v>
      </c>
    </row>
    <row r="12" spans="1:13" x14ac:dyDescent="0.25">
      <c r="A12" s="350" t="s">
        <v>137</v>
      </c>
      <c r="B12" s="350"/>
      <c r="C12" s="118"/>
      <c r="D12" s="118"/>
      <c r="E12" s="118"/>
      <c r="F12" s="118"/>
      <c r="G12" s="118"/>
      <c r="H12" s="118"/>
      <c r="I12" s="119"/>
      <c r="J12" s="119"/>
      <c r="K12" s="126">
        <f t="shared" si="0"/>
        <v>0</v>
      </c>
      <c r="L12" s="126">
        <f t="shared" si="1"/>
        <v>0</v>
      </c>
      <c r="M12" s="120" t="s">
        <v>689</v>
      </c>
    </row>
    <row r="13" spans="1:13" x14ac:dyDescent="0.25">
      <c r="A13" s="350" t="s">
        <v>138</v>
      </c>
      <c r="B13" s="350"/>
      <c r="C13" s="118"/>
      <c r="D13" s="118"/>
      <c r="E13" s="118"/>
      <c r="F13" s="118"/>
      <c r="G13" s="118"/>
      <c r="H13" s="118"/>
      <c r="I13" s="119"/>
      <c r="J13" s="119"/>
      <c r="K13" s="126">
        <f t="shared" si="0"/>
        <v>0</v>
      </c>
      <c r="L13" s="126">
        <f t="shared" si="1"/>
        <v>0</v>
      </c>
      <c r="M13" s="120" t="s">
        <v>689</v>
      </c>
    </row>
    <row r="14" spans="1:13" x14ac:dyDescent="0.25">
      <c r="A14" s="350" t="s">
        <v>139</v>
      </c>
      <c r="B14" s="350"/>
      <c r="C14" s="118"/>
      <c r="D14" s="118"/>
      <c r="E14" s="118"/>
      <c r="F14" s="118"/>
      <c r="G14" s="118"/>
      <c r="H14" s="118"/>
      <c r="I14" s="119"/>
      <c r="J14" s="119"/>
      <c r="K14" s="126">
        <f t="shared" si="0"/>
        <v>0</v>
      </c>
      <c r="L14" s="126">
        <f t="shared" si="1"/>
        <v>0</v>
      </c>
      <c r="M14" s="120" t="s">
        <v>689</v>
      </c>
    </row>
    <row r="15" spans="1:13" x14ac:dyDescent="0.25">
      <c r="A15" s="350" t="s">
        <v>140</v>
      </c>
      <c r="B15" s="350"/>
      <c r="C15" s="118"/>
      <c r="D15" s="118"/>
      <c r="E15" s="118"/>
      <c r="F15" s="118"/>
      <c r="G15" s="118"/>
      <c r="H15" s="118"/>
      <c r="I15" s="119"/>
      <c r="J15" s="119"/>
      <c r="K15" s="126">
        <f t="shared" si="0"/>
        <v>0</v>
      </c>
      <c r="L15" s="126">
        <f t="shared" si="1"/>
        <v>0</v>
      </c>
      <c r="M15" s="120" t="s">
        <v>689</v>
      </c>
    </row>
    <row r="16" spans="1:13" x14ac:dyDescent="0.25">
      <c r="A16" s="350" t="s">
        <v>141</v>
      </c>
      <c r="B16" s="350"/>
      <c r="C16" s="118"/>
      <c r="D16" s="118"/>
      <c r="E16" s="118"/>
      <c r="F16" s="118"/>
      <c r="G16" s="118"/>
      <c r="H16" s="118"/>
      <c r="I16" s="119"/>
      <c r="J16" s="119"/>
      <c r="K16" s="126">
        <f t="shared" si="0"/>
        <v>0</v>
      </c>
      <c r="L16" s="126">
        <f t="shared" si="1"/>
        <v>0</v>
      </c>
      <c r="M16" s="120" t="s">
        <v>689</v>
      </c>
    </row>
    <row r="17" spans="1:13" x14ac:dyDescent="0.25">
      <c r="A17" s="350" t="s">
        <v>142</v>
      </c>
      <c r="B17" s="350"/>
      <c r="C17" s="118"/>
      <c r="D17" s="118"/>
      <c r="E17" s="118"/>
      <c r="F17" s="118"/>
      <c r="G17" s="118"/>
      <c r="H17" s="118"/>
      <c r="I17" s="119"/>
      <c r="J17" s="119"/>
      <c r="K17" s="126">
        <f t="shared" si="0"/>
        <v>0</v>
      </c>
      <c r="L17" s="126">
        <f t="shared" si="1"/>
        <v>0</v>
      </c>
      <c r="M17" s="120" t="s">
        <v>689</v>
      </c>
    </row>
    <row r="18" spans="1:13" x14ac:dyDescent="0.25">
      <c r="A18" s="350" t="s">
        <v>143</v>
      </c>
      <c r="B18" s="350"/>
      <c r="C18" s="118"/>
      <c r="D18" s="118"/>
      <c r="E18" s="118"/>
      <c r="F18" s="118"/>
      <c r="G18" s="118"/>
      <c r="H18" s="118"/>
      <c r="I18" s="119"/>
      <c r="J18" s="119"/>
      <c r="K18" s="126">
        <f t="shared" si="0"/>
        <v>0</v>
      </c>
      <c r="L18" s="126">
        <f t="shared" si="1"/>
        <v>0</v>
      </c>
      <c r="M18" s="120" t="s">
        <v>689</v>
      </c>
    </row>
    <row r="19" spans="1:13" x14ac:dyDescent="0.25">
      <c r="A19" s="353" t="s">
        <v>128</v>
      </c>
      <c r="B19" s="353"/>
      <c r="C19" s="126">
        <f>SUM(C9:C18)</f>
        <v>2000</v>
      </c>
      <c r="D19" s="126">
        <f t="shared" ref="D19:J19" si="2">SUM(D9:D18)</f>
        <v>60</v>
      </c>
      <c r="E19" s="126">
        <f t="shared" si="2"/>
        <v>0</v>
      </c>
      <c r="F19" s="126">
        <f t="shared" si="2"/>
        <v>0</v>
      </c>
      <c r="G19" s="126">
        <f t="shared" si="2"/>
        <v>0</v>
      </c>
      <c r="H19" s="126">
        <f t="shared" si="2"/>
        <v>0</v>
      </c>
      <c r="I19" s="126">
        <f t="shared" si="2"/>
        <v>0</v>
      </c>
      <c r="J19" s="126">
        <f t="shared" si="2"/>
        <v>0</v>
      </c>
      <c r="K19" s="126">
        <f>IF(E19=0,C19,AVERAGE(C19,E19,G19,I19))</f>
        <v>2000</v>
      </c>
      <c r="L19" s="126">
        <f>IF(F19=0,D19,AVERAGE(D19,F19,H19,J19))</f>
        <v>60</v>
      </c>
      <c r="M19" s="120" t="s">
        <v>689</v>
      </c>
    </row>
    <row r="20" spans="1:13" x14ac:dyDescent="0.25">
      <c r="A20" s="351" t="s">
        <v>712</v>
      </c>
      <c r="B20" s="354"/>
      <c r="C20" s="354"/>
      <c r="D20" s="354"/>
      <c r="E20" s="354"/>
      <c r="F20" s="354"/>
      <c r="G20" s="354"/>
      <c r="H20" s="354"/>
      <c r="I20" s="354"/>
      <c r="J20" s="354"/>
      <c r="K20" s="354"/>
      <c r="L20" s="354"/>
      <c r="M20" s="352"/>
    </row>
    <row r="21" spans="1:13" x14ac:dyDescent="0.25">
      <c r="A21" s="106"/>
      <c r="B21" s="107"/>
      <c r="C21" s="107"/>
      <c r="D21" s="107"/>
      <c r="E21" s="107"/>
      <c r="F21" s="107"/>
      <c r="G21" s="107"/>
      <c r="H21" s="107"/>
      <c r="I21" s="107"/>
      <c r="J21" s="107"/>
      <c r="K21" s="107"/>
      <c r="L21" s="107"/>
      <c r="M21" s="108"/>
    </row>
    <row r="22" spans="1:13" x14ac:dyDescent="0.25">
      <c r="A22" s="351" t="s">
        <v>124</v>
      </c>
      <c r="B22" s="352"/>
      <c r="C22" s="476">
        <v>18000</v>
      </c>
      <c r="D22" s="477"/>
      <c r="E22" s="476"/>
      <c r="F22" s="477"/>
      <c r="G22" s="476"/>
      <c r="H22" s="477"/>
      <c r="I22" s="476"/>
      <c r="J22" s="477"/>
      <c r="K22" s="357">
        <f>IF(C22="","",IF(E22="",C22,AVERAGE(C22:J22)))</f>
        <v>18000</v>
      </c>
      <c r="L22" s="358"/>
      <c r="M22" s="120" t="s">
        <v>685</v>
      </c>
    </row>
    <row r="23" spans="1:13" x14ac:dyDescent="0.25">
      <c r="A23" s="351" t="s">
        <v>125</v>
      </c>
      <c r="B23" s="352"/>
      <c r="C23" s="476">
        <v>1000</v>
      </c>
      <c r="D23" s="477"/>
      <c r="E23" s="476"/>
      <c r="F23" s="477"/>
      <c r="G23" s="476"/>
      <c r="H23" s="477"/>
      <c r="I23" s="476"/>
      <c r="J23" s="477"/>
      <c r="K23" s="357">
        <f t="shared" ref="K23:K25" si="3">IF(C23="","",IF(E23="",C23,AVERAGE(C23:J23)))</f>
        <v>1000</v>
      </c>
      <c r="L23" s="358"/>
      <c r="M23" s="120" t="s">
        <v>685</v>
      </c>
    </row>
    <row r="24" spans="1:13" x14ac:dyDescent="0.25">
      <c r="A24" s="351" t="s">
        <v>126</v>
      </c>
      <c r="B24" s="352"/>
      <c r="C24" s="476"/>
      <c r="D24" s="477"/>
      <c r="E24" s="476"/>
      <c r="F24" s="477"/>
      <c r="G24" s="476"/>
      <c r="H24" s="477"/>
      <c r="I24" s="476"/>
      <c r="J24" s="477"/>
      <c r="K24" s="357" t="str">
        <f t="shared" si="3"/>
        <v/>
      </c>
      <c r="L24" s="358"/>
      <c r="M24" s="120" t="s">
        <v>685</v>
      </c>
    </row>
    <row r="25" spans="1:13" x14ac:dyDescent="0.25">
      <c r="A25" s="351" t="s">
        <v>615</v>
      </c>
      <c r="B25" s="352"/>
      <c r="C25" s="476"/>
      <c r="D25" s="477"/>
      <c r="E25" s="476"/>
      <c r="F25" s="477"/>
      <c r="G25" s="476"/>
      <c r="H25" s="477"/>
      <c r="I25" s="476"/>
      <c r="J25" s="477"/>
      <c r="K25" s="357" t="str">
        <f t="shared" si="3"/>
        <v/>
      </c>
      <c r="L25" s="358"/>
      <c r="M25" s="120" t="s">
        <v>685</v>
      </c>
    </row>
    <row r="26" spans="1:13" x14ac:dyDescent="0.25">
      <c r="A26" s="361" t="s">
        <v>128</v>
      </c>
      <c r="B26" s="361"/>
      <c r="C26" s="359">
        <f>SUM(C22:D25)</f>
        <v>19000</v>
      </c>
      <c r="D26" s="360"/>
      <c r="E26" s="359">
        <f>SUM(E22:F25)</f>
        <v>0</v>
      </c>
      <c r="F26" s="360"/>
      <c r="G26" s="359">
        <f>SUM(G22:H25)</f>
        <v>0</v>
      </c>
      <c r="H26" s="360"/>
      <c r="I26" s="359">
        <f>SUM(I22:J25)</f>
        <v>0</v>
      </c>
      <c r="J26" s="360"/>
      <c r="K26" s="359">
        <f>SUM(K22:L25)</f>
        <v>19000</v>
      </c>
      <c r="L26" s="360"/>
      <c r="M26" s="120"/>
    </row>
    <row r="27" spans="1:13" ht="14.45" customHeight="1" x14ac:dyDescent="0.25">
      <c r="A27" s="96"/>
      <c r="B27" s="96"/>
      <c r="C27" s="96"/>
      <c r="D27" s="96"/>
      <c r="E27" s="96"/>
      <c r="F27" s="96"/>
      <c r="G27" s="96"/>
      <c r="H27" s="96"/>
      <c r="I27" s="96"/>
      <c r="J27" s="96"/>
      <c r="K27" s="96"/>
      <c r="L27" s="96"/>
      <c r="M27" s="97"/>
    </row>
  </sheetData>
  <sheetProtection password="C5B9" sheet="1" objects="1" scenarios="1"/>
  <mergeCells count="52">
    <mergeCell ref="A2:M3"/>
    <mergeCell ref="K23:L23"/>
    <mergeCell ref="K24:L24"/>
    <mergeCell ref="K25:L25"/>
    <mergeCell ref="C26:D26"/>
    <mergeCell ref="E26:F26"/>
    <mergeCell ref="G26:H26"/>
    <mergeCell ref="I26:J26"/>
    <mergeCell ref="K26:L26"/>
    <mergeCell ref="G23:H23"/>
    <mergeCell ref="G24:H24"/>
    <mergeCell ref="G25:H25"/>
    <mergeCell ref="I22:J22"/>
    <mergeCell ref="I23:J23"/>
    <mergeCell ref="I24:J24"/>
    <mergeCell ref="I25:J25"/>
    <mergeCell ref="C23:D23"/>
    <mergeCell ref="C24:D24"/>
    <mergeCell ref="C25:D25"/>
    <mergeCell ref="E22:F22"/>
    <mergeCell ref="E23:F23"/>
    <mergeCell ref="E24:F24"/>
    <mergeCell ref="E25:F25"/>
    <mergeCell ref="C22:D22"/>
    <mergeCell ref="G22:H22"/>
    <mergeCell ref="K22:L22"/>
    <mergeCell ref="A16:B16"/>
    <mergeCell ref="A17:B17"/>
    <mergeCell ref="A18:B18"/>
    <mergeCell ref="A20:M20"/>
    <mergeCell ref="A19:B19"/>
    <mergeCell ref="A26:B26"/>
    <mergeCell ref="A23:B23"/>
    <mergeCell ref="A24:B24"/>
    <mergeCell ref="A25:B25"/>
    <mergeCell ref="A10:B10"/>
    <mergeCell ref="A11:B11"/>
    <mergeCell ref="A12:B12"/>
    <mergeCell ref="A13:B13"/>
    <mergeCell ref="A14:B14"/>
    <mergeCell ref="A15:B15"/>
    <mergeCell ref="A22:B22"/>
    <mergeCell ref="B4:M4"/>
    <mergeCell ref="A6:B6"/>
    <mergeCell ref="A9:B9"/>
    <mergeCell ref="C6:D6"/>
    <mergeCell ref="E6:F6"/>
    <mergeCell ref="G6:H6"/>
    <mergeCell ref="I6:J6"/>
    <mergeCell ref="A7:M7"/>
    <mergeCell ref="K6:L6"/>
    <mergeCell ref="A5:M5"/>
  </mergeCells>
  <pageMargins left="0.7" right="0.7" top="0.75" bottom="0.75" header="0.3" footer="0.3"/>
  <pageSetup scale="80" orientation="portrait" r:id="rId1"/>
  <headerFooter>
    <oddHeader>&amp;L&amp;G&amp;C&amp;G</oddHeader>
    <oddFooter>&amp;RNovember 2016</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
    <tabColor rgb="FFFFC000"/>
  </sheetPr>
  <dimension ref="A3:K32"/>
  <sheetViews>
    <sheetView view="pageLayout" topLeftCell="A4" zoomScaleNormal="100" zoomScaleSheetLayoutView="100" workbookViewId="0">
      <selection activeCell="E24" sqref="D24:E24"/>
    </sheetView>
  </sheetViews>
  <sheetFormatPr defaultRowHeight="15" x14ac:dyDescent="0.25"/>
  <cols>
    <col min="1" max="1" width="2.85546875" customWidth="1"/>
    <col min="2" max="2" width="10.5703125" customWidth="1"/>
    <col min="3" max="3" width="10.7109375" customWidth="1"/>
    <col min="4" max="4" width="9.28515625" customWidth="1"/>
    <col min="5" max="5" width="10.28515625" customWidth="1"/>
    <col min="6" max="6" width="10.42578125" customWidth="1"/>
    <col min="7" max="8" width="10.7109375" customWidth="1"/>
    <col min="9" max="9" width="8.5703125" customWidth="1"/>
    <col min="10" max="10" width="9.85546875" bestFit="1" customWidth="1"/>
    <col min="11" max="11" width="10.7109375" customWidth="1"/>
  </cols>
  <sheetData>
    <row r="3" spans="1:11" ht="15.75" customHeight="1" x14ac:dyDescent="0.25">
      <c r="A3" s="34">
        <v>5</v>
      </c>
      <c r="B3" s="361" t="s">
        <v>129</v>
      </c>
      <c r="C3" s="361"/>
      <c r="D3" s="361"/>
      <c r="E3" s="361"/>
      <c r="F3" s="361"/>
      <c r="G3" s="361"/>
      <c r="H3" s="361"/>
      <c r="I3" s="361"/>
      <c r="J3" s="361"/>
      <c r="K3" s="361"/>
    </row>
    <row r="4" spans="1:11" s="1" customFormat="1" ht="22.5" customHeight="1" x14ac:dyDescent="0.2">
      <c r="A4" s="361"/>
      <c r="B4" s="361"/>
      <c r="C4" s="388" t="s">
        <v>130</v>
      </c>
      <c r="D4" s="388"/>
      <c r="E4" s="388"/>
      <c r="F4" s="348" t="s">
        <v>131</v>
      </c>
      <c r="G4" s="349"/>
      <c r="H4" s="349"/>
      <c r="I4" s="349"/>
      <c r="J4" s="389"/>
      <c r="K4" s="35"/>
    </row>
    <row r="5" spans="1:11" s="1" customFormat="1" ht="54.75" customHeight="1" x14ac:dyDescent="0.2">
      <c r="A5" s="350"/>
      <c r="B5" s="350"/>
      <c r="C5" s="33" t="s">
        <v>132</v>
      </c>
      <c r="D5" s="33" t="s">
        <v>686</v>
      </c>
      <c r="E5" s="33" t="s">
        <v>349</v>
      </c>
      <c r="F5" s="33" t="s">
        <v>132</v>
      </c>
      <c r="G5" s="33" t="s">
        <v>686</v>
      </c>
      <c r="H5" s="33" t="s">
        <v>349</v>
      </c>
      <c r="I5" s="33" t="s">
        <v>687</v>
      </c>
      <c r="J5" s="33" t="s">
        <v>688</v>
      </c>
      <c r="K5" s="33" t="s">
        <v>133</v>
      </c>
    </row>
    <row r="6" spans="1:11" s="1" customFormat="1" ht="15" customHeight="1" x14ac:dyDescent="0.2">
      <c r="A6" s="350" t="s">
        <v>134</v>
      </c>
      <c r="B6" s="350"/>
      <c r="C6" s="118"/>
      <c r="D6" s="118"/>
      <c r="E6" s="119"/>
      <c r="F6" s="119"/>
      <c r="G6" s="121"/>
      <c r="H6" s="120"/>
      <c r="I6" s="128" t="str">
        <f>IF(AND(C6="",D6=""),"",((C6-F6)*0.00341214+(D6-G6)*0.1)/(($C$16-$F$16)*0.00341214+($D$16-$G$16)*0.1))</f>
        <v/>
      </c>
      <c r="J6" s="128" t="str">
        <f>IF(AND(C6="",D6=""),"",(($C6-$F6)*'4. Purchased Energy Rates'!$F$8+($D6-$G6)*'4. Purchased Energy Rates'!$F$9)/(($C$16-$F$16)*'4. Purchased Energy Rates'!$F$8+($D$16-$G$16)*'4. Purchased Energy Rates'!$F$9))</f>
        <v/>
      </c>
      <c r="K6" s="120" t="s">
        <v>689</v>
      </c>
    </row>
    <row r="7" spans="1:11" s="1" customFormat="1" ht="15" customHeight="1" x14ac:dyDescent="0.2">
      <c r="A7" s="350" t="s">
        <v>135</v>
      </c>
      <c r="B7" s="350"/>
      <c r="C7" s="118"/>
      <c r="D7" s="118"/>
      <c r="E7" s="119"/>
      <c r="F7" s="119"/>
      <c r="G7" s="119"/>
      <c r="H7" s="120"/>
      <c r="I7" s="128" t="str">
        <f t="shared" ref="I7:I16" si="0">IF(AND(C7="",D7=""),"",((C7-F7)*0.00341214+(D7-G7)*0.1)/(($C$16-$F$16)*0.00341214+($D$16-$G$16)*0.1))</f>
        <v/>
      </c>
      <c r="J7" s="128" t="str">
        <f>IF(AND(C7="",D7=""),"",(($C7-$F7)*'4. Purchased Energy Rates'!$F$8+($D7-$G7)*'4. Purchased Energy Rates'!$F$9)/(($C$16-$F$16)*'4. Purchased Energy Rates'!$F$8+($D$16-$G$16)*'4. Purchased Energy Rates'!$F$9))</f>
        <v/>
      </c>
      <c r="K7" s="120" t="s">
        <v>689</v>
      </c>
    </row>
    <row r="8" spans="1:11" s="1" customFormat="1" ht="15" customHeight="1" x14ac:dyDescent="0.2">
      <c r="A8" s="350" t="s">
        <v>136</v>
      </c>
      <c r="B8" s="350"/>
      <c r="C8" s="118"/>
      <c r="D8" s="118"/>
      <c r="E8" s="119"/>
      <c r="F8" s="119"/>
      <c r="G8" s="119"/>
      <c r="H8" s="120"/>
      <c r="I8" s="128" t="str">
        <f t="shared" si="0"/>
        <v/>
      </c>
      <c r="J8" s="128" t="str">
        <f>IF(AND(C8="",D8=""),"",(($C8-$F8)*'4. Purchased Energy Rates'!$F$8+($D8-$G8)*'4. Purchased Energy Rates'!$F$9)/(($C$16-$F$16)*'4. Purchased Energy Rates'!$F$8+($D$16-$G$16)*'4. Purchased Energy Rates'!$F$9))</f>
        <v/>
      </c>
      <c r="K8" s="120" t="s">
        <v>689</v>
      </c>
    </row>
    <row r="9" spans="1:11" s="1" customFormat="1" ht="15" customHeight="1" x14ac:dyDescent="0.2">
      <c r="A9" s="350" t="s">
        <v>137</v>
      </c>
      <c r="B9" s="350"/>
      <c r="C9" s="118"/>
      <c r="D9" s="118"/>
      <c r="E9" s="119"/>
      <c r="F9" s="119"/>
      <c r="G9" s="119"/>
      <c r="H9" s="120"/>
      <c r="I9" s="128" t="str">
        <f t="shared" si="0"/>
        <v/>
      </c>
      <c r="J9" s="128" t="str">
        <f>IF(AND(C9="",D9=""),"",(($C9-$F9)*'4. Purchased Energy Rates'!$F$8+($D9-$G9)*'4. Purchased Energy Rates'!$F$9)/(($C$16-$F$16)*'4. Purchased Energy Rates'!$F$8+($D$16-$G$16)*'4. Purchased Energy Rates'!$F$9))</f>
        <v/>
      </c>
      <c r="K9" s="120" t="s">
        <v>689</v>
      </c>
    </row>
    <row r="10" spans="1:11" ht="15" customHeight="1" x14ac:dyDescent="0.25">
      <c r="A10" s="350" t="s">
        <v>138</v>
      </c>
      <c r="B10" s="350"/>
      <c r="C10" s="118"/>
      <c r="D10" s="118"/>
      <c r="E10" s="119"/>
      <c r="F10" s="119"/>
      <c r="G10" s="119"/>
      <c r="H10" s="120"/>
      <c r="I10" s="128" t="str">
        <f t="shared" si="0"/>
        <v/>
      </c>
      <c r="J10" s="128" t="str">
        <f>IF(AND(C10="",D10=""),"",(($C10-$F10)*'4. Purchased Energy Rates'!$F$8+($D10-$G10)*'4. Purchased Energy Rates'!$F$9)/(($C$16-$F$16)*'4. Purchased Energy Rates'!$F$8+($D$16-$G$16)*'4. Purchased Energy Rates'!$F$9))</f>
        <v/>
      </c>
      <c r="K10" s="120" t="s">
        <v>689</v>
      </c>
    </row>
    <row r="11" spans="1:11" ht="15" customHeight="1" x14ac:dyDescent="0.25">
      <c r="A11" s="350" t="s">
        <v>139</v>
      </c>
      <c r="B11" s="350"/>
      <c r="C11" s="118"/>
      <c r="D11" s="118"/>
      <c r="E11" s="119"/>
      <c r="F11" s="119"/>
      <c r="G11" s="119"/>
      <c r="H11" s="120"/>
      <c r="I11" s="128" t="str">
        <f t="shared" si="0"/>
        <v/>
      </c>
      <c r="J11" s="128" t="str">
        <f>IF(AND(C11="",D11=""),"",(($C11-$F11)*'4. Purchased Energy Rates'!$F$8+($D11-$G11)*'4. Purchased Energy Rates'!$F$9)/(($C$16-$F$16)*'4. Purchased Energy Rates'!$F$8+($D$16-$G$16)*'4. Purchased Energy Rates'!$F$9))</f>
        <v/>
      </c>
      <c r="K11" s="120" t="s">
        <v>689</v>
      </c>
    </row>
    <row r="12" spans="1:11" ht="15" customHeight="1" x14ac:dyDescent="0.25">
      <c r="A12" s="350" t="s">
        <v>140</v>
      </c>
      <c r="B12" s="350"/>
      <c r="C12" s="118"/>
      <c r="D12" s="118"/>
      <c r="E12" s="119"/>
      <c r="F12" s="119"/>
      <c r="G12" s="119"/>
      <c r="H12" s="120"/>
      <c r="I12" s="128" t="str">
        <f t="shared" si="0"/>
        <v/>
      </c>
      <c r="J12" s="128" t="str">
        <f>IF(AND(C12="",D12=""),"",(($C12-$F12)*'4. Purchased Energy Rates'!$F$8+($D12-$G12)*'4. Purchased Energy Rates'!$F$9)/(($C$16-$F$16)*'4. Purchased Energy Rates'!$F$8+($D$16-$G$16)*'4. Purchased Energy Rates'!$F$9))</f>
        <v/>
      </c>
      <c r="K12" s="120" t="s">
        <v>689</v>
      </c>
    </row>
    <row r="13" spans="1:11" ht="15" customHeight="1" x14ac:dyDescent="0.25">
      <c r="A13" s="350" t="s">
        <v>141</v>
      </c>
      <c r="B13" s="350"/>
      <c r="C13" s="118"/>
      <c r="D13" s="118"/>
      <c r="E13" s="119"/>
      <c r="F13" s="119"/>
      <c r="G13" s="119"/>
      <c r="H13" s="120"/>
      <c r="I13" s="128" t="str">
        <f t="shared" si="0"/>
        <v/>
      </c>
      <c r="J13" s="128" t="str">
        <f>IF(AND(C13="",D13=""),"",(($C13-$F13)*'4. Purchased Energy Rates'!$F$8+($D13-$G13)*'4. Purchased Energy Rates'!$F$9)/(($C$16-$F$16)*'4. Purchased Energy Rates'!$F$8+($D$16-$G$16)*'4. Purchased Energy Rates'!$F$9))</f>
        <v/>
      </c>
      <c r="K13" s="120" t="s">
        <v>689</v>
      </c>
    </row>
    <row r="14" spans="1:11" ht="15" customHeight="1" x14ac:dyDescent="0.25">
      <c r="A14" s="350" t="s">
        <v>142</v>
      </c>
      <c r="B14" s="350"/>
      <c r="C14" s="118"/>
      <c r="D14" s="118"/>
      <c r="E14" s="119"/>
      <c r="F14" s="119"/>
      <c r="G14" s="119"/>
      <c r="H14" s="120"/>
      <c r="I14" s="128" t="str">
        <f t="shared" si="0"/>
        <v/>
      </c>
      <c r="J14" s="128" t="str">
        <f>IF(AND(C14="",D14=""),"",(($C14-$F14)*'4. Purchased Energy Rates'!$F$8+($D14-$G14)*'4. Purchased Energy Rates'!$F$9)/(($C$16-$F$16)*'4. Purchased Energy Rates'!$F$8+($D$16-$G$16)*'4. Purchased Energy Rates'!$F$9))</f>
        <v/>
      </c>
      <c r="K14" s="120" t="s">
        <v>689</v>
      </c>
    </row>
    <row r="15" spans="1:11" ht="15" customHeight="1" x14ac:dyDescent="0.25">
      <c r="A15" s="350" t="s">
        <v>143</v>
      </c>
      <c r="B15" s="350"/>
      <c r="C15" s="118"/>
      <c r="D15" s="118"/>
      <c r="E15" s="119"/>
      <c r="F15" s="119"/>
      <c r="G15" s="119"/>
      <c r="H15" s="120"/>
      <c r="I15" s="128" t="str">
        <f t="shared" si="0"/>
        <v/>
      </c>
      <c r="J15" s="128" t="str">
        <f>IF(AND(C15="",D15=""),"",(($C15-$F15)*'4. Purchased Energy Rates'!$F$8+($D15-$G15)*'4. Purchased Energy Rates'!$F$9)/(($C$16-$F$16)*'4. Purchased Energy Rates'!$F$8+($D$16-$G$16)*'4. Purchased Energy Rates'!$F$9))</f>
        <v/>
      </c>
      <c r="K15" s="120" t="s">
        <v>689</v>
      </c>
    </row>
    <row r="16" spans="1:11" ht="15" customHeight="1" x14ac:dyDescent="0.25">
      <c r="A16" s="361" t="s">
        <v>128</v>
      </c>
      <c r="B16" s="361"/>
      <c r="C16" s="126" t="str">
        <f t="shared" ref="C16:H16" si="1">IF(SUM(C6:C15)=0,"",SUM(C6:C15))</f>
        <v/>
      </c>
      <c r="D16" s="126" t="str">
        <f t="shared" si="1"/>
        <v/>
      </c>
      <c r="E16" s="126" t="str">
        <f t="shared" si="1"/>
        <v/>
      </c>
      <c r="F16" s="126" t="str">
        <f t="shared" si="1"/>
        <v/>
      </c>
      <c r="G16" s="126" t="str">
        <f>IF(SUM(G7:G15)=0,"",SUM(G7:G15))</f>
        <v/>
      </c>
      <c r="H16" s="127" t="str">
        <f t="shared" si="1"/>
        <v/>
      </c>
      <c r="I16" s="128" t="str">
        <f t="shared" si="0"/>
        <v/>
      </c>
      <c r="J16" s="128" t="str">
        <f>IF(AND(C16="",D16=""),"",(($C16-$F16)*'4. Purchased Energy Rates'!$F$8+($D16-$G16)*'4. Purchased Energy Rates'!$F$9)/(($C$16-$F$16)*'4. Purchased Energy Rates'!$F$8+($D$16-$G$16)*'4. Purchased Energy Rates'!$F$9))</f>
        <v/>
      </c>
      <c r="K16" s="120"/>
    </row>
    <row r="17" spans="1:11" ht="15" customHeight="1" x14ac:dyDescent="0.25">
      <c r="A17" s="96"/>
      <c r="B17" s="96"/>
      <c r="C17" s="96"/>
      <c r="D17" s="96"/>
      <c r="E17" s="96"/>
      <c r="F17" s="96"/>
      <c r="G17" s="478" t="e">
        <f>IF(J17="","",IF(J17='4. Purchased Energy Rates'!E12-'4. Purchased Energy Rates'!G12,"Aligns with Section 4","Does Not Align with Section 4"))</f>
        <v>#VALUE!</v>
      </c>
      <c r="H17" s="478"/>
      <c r="I17" s="478"/>
      <c r="J17" s="129" t="e">
        <f>($C$16-$F$16)*'4. Purchased Energy Rates'!$F$8+($D$16-$G$16)*'4. Purchased Energy Rates'!$F$9</f>
        <v>#VALUE!</v>
      </c>
      <c r="K17" s="97"/>
    </row>
    <row r="18" spans="1:11" x14ac:dyDescent="0.25">
      <c r="A18" s="98"/>
      <c r="B18" s="99"/>
      <c r="C18" s="99"/>
      <c r="D18" s="99"/>
      <c r="E18" s="99"/>
      <c r="F18" s="99"/>
      <c r="G18" s="99"/>
      <c r="H18" s="99"/>
      <c r="I18" s="99"/>
      <c r="J18" s="99"/>
      <c r="K18" s="100"/>
    </row>
    <row r="19" spans="1:11" x14ac:dyDescent="0.25">
      <c r="A19" s="34" t="s">
        <v>560</v>
      </c>
      <c r="B19" s="361" t="s">
        <v>561</v>
      </c>
      <c r="C19" s="361"/>
      <c r="D19" s="361"/>
      <c r="E19" s="361"/>
      <c r="F19" s="361"/>
      <c r="G19" s="361"/>
      <c r="H19" s="361"/>
      <c r="I19" s="361"/>
      <c r="J19" s="361"/>
      <c r="K19" s="361"/>
    </row>
    <row r="20" spans="1:11" x14ac:dyDescent="0.25">
      <c r="A20" s="68"/>
      <c r="B20" s="109" t="s">
        <v>562</v>
      </c>
      <c r="C20" s="110"/>
      <c r="D20" s="110"/>
      <c r="E20" s="110"/>
      <c r="F20" s="110"/>
      <c r="G20" s="110"/>
      <c r="H20" s="110"/>
      <c r="I20" s="110"/>
      <c r="J20" s="110"/>
      <c r="K20" s="111"/>
    </row>
    <row r="21" spans="1:11" x14ac:dyDescent="0.25">
      <c r="A21" s="69"/>
      <c r="B21" s="122" t="s">
        <v>749</v>
      </c>
      <c r="C21" s="122"/>
      <c r="D21" s="122"/>
      <c r="E21" s="122"/>
      <c r="F21" s="122"/>
      <c r="G21" s="122"/>
      <c r="H21" s="122"/>
      <c r="I21" s="122"/>
      <c r="J21" s="122"/>
      <c r="K21" s="123"/>
    </row>
    <row r="22" spans="1:11" x14ac:dyDescent="0.25">
      <c r="A22" s="69"/>
      <c r="B22" s="122" t="s">
        <v>750</v>
      </c>
      <c r="C22" s="122"/>
      <c r="D22" s="122"/>
      <c r="E22" s="122"/>
      <c r="F22" s="122"/>
      <c r="G22" s="122"/>
      <c r="H22" s="122"/>
      <c r="I22" s="122"/>
      <c r="J22" s="122"/>
      <c r="K22" s="123"/>
    </row>
    <row r="23" spans="1:11" x14ac:dyDescent="0.25">
      <c r="A23" s="69"/>
      <c r="B23" s="122" t="s">
        <v>751</v>
      </c>
      <c r="C23" s="122"/>
      <c r="D23" s="122"/>
      <c r="E23" s="122"/>
      <c r="F23" s="122"/>
      <c r="G23" s="122"/>
      <c r="H23" s="122"/>
      <c r="I23" s="122"/>
      <c r="J23" s="122"/>
      <c r="K23" s="123"/>
    </row>
    <row r="24" spans="1:11" x14ac:dyDescent="0.25">
      <c r="A24" s="69"/>
      <c r="B24" s="122"/>
      <c r="C24" s="122"/>
      <c r="D24" s="122"/>
      <c r="E24" s="122"/>
      <c r="F24" s="122"/>
      <c r="G24" s="122"/>
      <c r="H24" s="122"/>
      <c r="I24" s="122"/>
      <c r="J24" s="122"/>
      <c r="K24" s="123"/>
    </row>
    <row r="25" spans="1:11" x14ac:dyDescent="0.25">
      <c r="A25" s="69"/>
      <c r="B25" s="122"/>
      <c r="C25" s="122"/>
      <c r="D25" s="122"/>
      <c r="E25" s="122"/>
      <c r="F25" s="122"/>
      <c r="G25" s="122"/>
      <c r="H25" s="122"/>
      <c r="I25" s="122"/>
      <c r="J25" s="122"/>
      <c r="K25" s="123"/>
    </row>
    <row r="26" spans="1:11" x14ac:dyDescent="0.25">
      <c r="A26" s="69"/>
      <c r="B26" s="122"/>
      <c r="C26" s="122"/>
      <c r="D26" s="122"/>
      <c r="E26" s="122"/>
      <c r="F26" s="122"/>
      <c r="G26" s="122"/>
      <c r="H26" s="122"/>
      <c r="I26" s="122"/>
      <c r="J26" s="122"/>
      <c r="K26" s="123"/>
    </row>
    <row r="27" spans="1:11" x14ac:dyDescent="0.25">
      <c r="A27" s="69"/>
      <c r="B27" s="122"/>
      <c r="C27" s="122"/>
      <c r="D27" s="122"/>
      <c r="E27" s="122"/>
      <c r="F27" s="122"/>
      <c r="G27" s="122"/>
      <c r="H27" s="122"/>
      <c r="I27" s="122"/>
      <c r="J27" s="122"/>
      <c r="K27" s="123"/>
    </row>
    <row r="28" spans="1:11" x14ac:dyDescent="0.25">
      <c r="A28" s="69"/>
      <c r="B28" s="122"/>
      <c r="C28" s="122"/>
      <c r="D28" s="122"/>
      <c r="E28" s="122"/>
      <c r="F28" s="122"/>
      <c r="G28" s="122"/>
      <c r="H28" s="122"/>
      <c r="I28" s="122"/>
      <c r="J28" s="122"/>
      <c r="K28" s="123"/>
    </row>
    <row r="29" spans="1:11" x14ac:dyDescent="0.25">
      <c r="A29" s="69"/>
      <c r="B29" s="122"/>
      <c r="C29" s="122"/>
      <c r="D29" s="122"/>
      <c r="E29" s="122"/>
      <c r="F29" s="122"/>
      <c r="G29" s="122"/>
      <c r="H29" s="122"/>
      <c r="I29" s="122"/>
      <c r="J29" s="122"/>
      <c r="K29" s="123"/>
    </row>
    <row r="30" spans="1:11" x14ac:dyDescent="0.25">
      <c r="A30" s="69"/>
      <c r="B30" s="122"/>
      <c r="C30" s="122"/>
      <c r="D30" s="122"/>
      <c r="E30" s="122"/>
      <c r="F30" s="122"/>
      <c r="G30" s="122"/>
      <c r="H30" s="122"/>
      <c r="I30" s="122"/>
      <c r="J30" s="122"/>
      <c r="K30" s="123"/>
    </row>
    <row r="31" spans="1:11" x14ac:dyDescent="0.25">
      <c r="A31" s="69"/>
      <c r="B31" s="122"/>
      <c r="C31" s="122"/>
      <c r="D31" s="122"/>
      <c r="E31" s="122"/>
      <c r="F31" s="122"/>
      <c r="G31" s="122"/>
      <c r="H31" s="122"/>
      <c r="I31" s="122"/>
      <c r="J31" s="122"/>
      <c r="K31" s="123"/>
    </row>
    <row r="32" spans="1:11" x14ac:dyDescent="0.25">
      <c r="A32" s="70"/>
      <c r="B32" s="124"/>
      <c r="C32" s="124"/>
      <c r="D32" s="124"/>
      <c r="E32" s="124"/>
      <c r="F32" s="124"/>
      <c r="G32" s="124"/>
      <c r="H32" s="124"/>
      <c r="I32" s="124"/>
      <c r="J32" s="124"/>
      <c r="K32" s="125"/>
    </row>
  </sheetData>
  <sheetProtection password="C5B9" sheet="1" objects="1" scenarios="1"/>
  <mergeCells count="18">
    <mergeCell ref="B3:K3"/>
    <mergeCell ref="A4:B4"/>
    <mergeCell ref="C4:E4"/>
    <mergeCell ref="A15:B15"/>
    <mergeCell ref="A5:B5"/>
    <mergeCell ref="F4:J4"/>
    <mergeCell ref="A13:B13"/>
    <mergeCell ref="A6:B6"/>
    <mergeCell ref="A7:B7"/>
    <mergeCell ref="A8:B8"/>
    <mergeCell ref="A9:B9"/>
    <mergeCell ref="A10:B10"/>
    <mergeCell ref="A11:B11"/>
    <mergeCell ref="A12:B12"/>
    <mergeCell ref="A14:B14"/>
    <mergeCell ref="B19:K19"/>
    <mergeCell ref="A16:B16"/>
    <mergeCell ref="G17:I17"/>
  </mergeCells>
  <pageMargins left="0.7" right="0.7" top="0.75" bottom="0.75" header="0.3" footer="0.3"/>
  <pageSetup scale="84" orientation="portrait" r:id="rId1"/>
  <headerFooter>
    <oddHeader>&amp;L&amp;G&amp;C&amp;G</oddHeader>
    <oddFooter>&amp;RNovember 2016</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
    <tabColor rgb="FFFFC000"/>
  </sheetPr>
  <dimension ref="A3:L17"/>
  <sheetViews>
    <sheetView view="pageLayout" zoomScaleNormal="115" zoomScaleSheetLayoutView="145" workbookViewId="0">
      <selection activeCell="C27" sqref="C27:G27"/>
    </sheetView>
  </sheetViews>
  <sheetFormatPr defaultRowHeight="15" x14ac:dyDescent="0.25"/>
  <cols>
    <col min="1" max="1" width="2.85546875" customWidth="1"/>
    <col min="2" max="2" width="6" customWidth="1"/>
    <col min="3" max="3" width="6.7109375" customWidth="1"/>
    <col min="4" max="4" width="1.5703125" customWidth="1"/>
    <col min="5" max="6" width="10.7109375" customWidth="1"/>
    <col min="7" max="7" width="7.140625" customWidth="1"/>
    <col min="8" max="9" width="10.7109375" customWidth="1"/>
    <col min="10" max="10" width="7.140625" customWidth="1"/>
    <col min="11" max="11" width="9.42578125" customWidth="1"/>
  </cols>
  <sheetData>
    <row r="3" spans="1:12" ht="15.75" customHeight="1" x14ac:dyDescent="0.25">
      <c r="A3" s="38" t="s">
        <v>690</v>
      </c>
      <c r="B3" s="479" t="s">
        <v>144</v>
      </c>
      <c r="C3" s="480"/>
      <c r="D3" s="480"/>
      <c r="E3" s="480"/>
      <c r="F3" s="480"/>
      <c r="G3" s="480"/>
      <c r="H3" s="480"/>
      <c r="I3" s="480"/>
      <c r="J3" s="480"/>
      <c r="K3" s="480"/>
      <c r="L3" s="481"/>
    </row>
    <row r="4" spans="1:12" s="1" customFormat="1" ht="22.5" customHeight="1" x14ac:dyDescent="0.2">
      <c r="A4" s="486"/>
      <c r="B4" s="487"/>
      <c r="C4" s="486"/>
      <c r="D4" s="487"/>
      <c r="E4" s="485" t="s">
        <v>23</v>
      </c>
      <c r="F4" s="485"/>
      <c r="G4" s="485"/>
      <c r="H4" s="486" t="s">
        <v>24</v>
      </c>
      <c r="I4" s="491"/>
      <c r="J4" s="487"/>
      <c r="K4" s="482" t="s">
        <v>21</v>
      </c>
      <c r="L4" s="482" t="s">
        <v>123</v>
      </c>
    </row>
    <row r="5" spans="1:12" s="1" customFormat="1" ht="22.5" customHeight="1" x14ac:dyDescent="0.2">
      <c r="A5" s="488"/>
      <c r="B5" s="489"/>
      <c r="C5" s="488"/>
      <c r="D5" s="489"/>
      <c r="E5" s="411" t="s">
        <v>222</v>
      </c>
      <c r="F5" s="490"/>
      <c r="G5" s="412"/>
      <c r="H5" s="488"/>
      <c r="I5" s="492"/>
      <c r="J5" s="489"/>
      <c r="K5" s="483"/>
      <c r="L5" s="483"/>
    </row>
    <row r="6" spans="1:12" s="1" customFormat="1" ht="23.25" customHeight="1" x14ac:dyDescent="0.2">
      <c r="A6" s="485" t="s">
        <v>104</v>
      </c>
      <c r="B6" s="485"/>
      <c r="C6" s="485" t="s">
        <v>105</v>
      </c>
      <c r="D6" s="485"/>
      <c r="E6" s="485" t="s">
        <v>424</v>
      </c>
      <c r="F6" s="485" t="s">
        <v>106</v>
      </c>
      <c r="G6" s="485"/>
      <c r="H6" s="485" t="s">
        <v>424</v>
      </c>
      <c r="I6" s="485" t="s">
        <v>106</v>
      </c>
      <c r="J6" s="485"/>
      <c r="K6" s="483"/>
      <c r="L6" s="483"/>
    </row>
    <row r="7" spans="1:12" s="1" customFormat="1" ht="11.25" x14ac:dyDescent="0.2">
      <c r="A7" s="485"/>
      <c r="B7" s="485"/>
      <c r="C7" s="485"/>
      <c r="D7" s="485"/>
      <c r="E7" s="485"/>
      <c r="F7" s="36" t="s">
        <v>425</v>
      </c>
      <c r="G7" s="36" t="s">
        <v>107</v>
      </c>
      <c r="H7" s="485"/>
      <c r="I7" s="36" t="s">
        <v>425</v>
      </c>
      <c r="J7" s="36" t="s">
        <v>107</v>
      </c>
      <c r="K7" s="484"/>
      <c r="L7" s="484"/>
    </row>
    <row r="8" spans="1:12" s="1" customFormat="1" ht="15" customHeight="1" x14ac:dyDescent="0.2">
      <c r="A8" s="485"/>
      <c r="B8" s="485"/>
      <c r="C8" s="485" t="s">
        <v>108</v>
      </c>
      <c r="D8" s="485"/>
      <c r="E8" s="130"/>
      <c r="F8" s="130"/>
      <c r="G8" s="75" t="str">
        <f>IF(AND(E8="",F8=""),"",F8/E8*100)</f>
        <v/>
      </c>
      <c r="H8" s="130"/>
      <c r="I8" s="130"/>
      <c r="J8" s="75" t="str">
        <f>IF(AND(H8="",I8=""),"",I8/H8*100)</f>
        <v/>
      </c>
      <c r="K8" s="130"/>
      <c r="L8" s="130" t="s">
        <v>691</v>
      </c>
    </row>
    <row r="9" spans="1:12" s="1" customFormat="1" ht="15" customHeight="1" x14ac:dyDescent="0.2">
      <c r="A9" s="485"/>
      <c r="B9" s="485"/>
      <c r="C9" s="485" t="s">
        <v>109</v>
      </c>
      <c r="D9" s="485"/>
      <c r="E9" s="130"/>
      <c r="F9" s="130"/>
      <c r="G9" s="75" t="str">
        <f t="shared" ref="G9:G11" si="0">IF(AND(E9="",F9=""),"",F9/E9*100)</f>
        <v/>
      </c>
      <c r="H9" s="130"/>
      <c r="I9" s="130"/>
      <c r="J9" s="75" t="str">
        <f t="shared" ref="J9:J12" si="1">IF(AND(H9="",I9=""),"",I9/H9*100)</f>
        <v/>
      </c>
      <c r="K9" s="130"/>
      <c r="L9" s="130" t="s">
        <v>691</v>
      </c>
    </row>
    <row r="10" spans="1:12" s="1" customFormat="1" ht="15" customHeight="1" x14ac:dyDescent="0.2">
      <c r="A10" s="485"/>
      <c r="B10" s="485"/>
      <c r="C10" s="485" t="s">
        <v>110</v>
      </c>
      <c r="D10" s="485"/>
      <c r="E10" s="130"/>
      <c r="F10" s="130"/>
      <c r="G10" s="75" t="str">
        <f t="shared" si="0"/>
        <v/>
      </c>
      <c r="H10" s="130"/>
      <c r="I10" s="130"/>
      <c r="J10" s="75" t="str">
        <f t="shared" si="1"/>
        <v/>
      </c>
      <c r="K10" s="130"/>
      <c r="L10" s="130" t="s">
        <v>691</v>
      </c>
    </row>
    <row r="11" spans="1:12" s="1" customFormat="1" ht="15" customHeight="1" x14ac:dyDescent="0.2">
      <c r="A11" s="485"/>
      <c r="B11" s="485"/>
      <c r="C11" s="485" t="s">
        <v>111</v>
      </c>
      <c r="D11" s="485"/>
      <c r="E11" s="130"/>
      <c r="F11" s="130"/>
      <c r="G11" s="75" t="str">
        <f t="shared" si="0"/>
        <v/>
      </c>
      <c r="H11" s="130"/>
      <c r="I11" s="130"/>
      <c r="J11" s="75" t="str">
        <f t="shared" si="1"/>
        <v/>
      </c>
      <c r="K11" s="130"/>
      <c r="L11" s="130" t="s">
        <v>691</v>
      </c>
    </row>
    <row r="12" spans="1:12" ht="15" customHeight="1" x14ac:dyDescent="0.25">
      <c r="A12" s="485"/>
      <c r="B12" s="485"/>
      <c r="C12" s="493" t="s">
        <v>54</v>
      </c>
      <c r="D12" s="493"/>
      <c r="E12" s="76" t="str">
        <f>IF(SUM(E8:E11)=0,"",SUM(E8:E11))</f>
        <v/>
      </c>
      <c r="F12" s="76" t="str">
        <f>IF(SUM(F8:F11)=0,"",SUM(F8:F11))</f>
        <v/>
      </c>
      <c r="G12" s="75" t="str">
        <f>IF(AND(E12="",F12=""),"",F12/E12*100)</f>
        <v/>
      </c>
      <c r="H12" s="76" t="str">
        <f>IF(SUM(H8:H11)=0,"",SUM(H8:H11))</f>
        <v/>
      </c>
      <c r="I12" s="76" t="str">
        <f>IF(SUM(I8:I11)=0,"",SUM(I8:I11))</f>
        <v/>
      </c>
      <c r="J12" s="75" t="str">
        <f t="shared" si="1"/>
        <v/>
      </c>
      <c r="K12" s="130"/>
      <c r="L12" s="130" t="s">
        <v>691</v>
      </c>
    </row>
    <row r="13" spans="1:12" ht="22.5" customHeight="1" x14ac:dyDescent="0.25">
      <c r="A13" s="485" t="s">
        <v>112</v>
      </c>
      <c r="B13" s="485"/>
      <c r="C13" s="485" t="s">
        <v>426</v>
      </c>
      <c r="D13" s="485"/>
      <c r="E13" s="485"/>
      <c r="F13" s="485" t="s">
        <v>113</v>
      </c>
      <c r="G13" s="485"/>
      <c r="H13" s="485" t="s">
        <v>426</v>
      </c>
      <c r="I13" s="485" t="s">
        <v>113</v>
      </c>
      <c r="J13" s="485"/>
      <c r="K13" s="485" t="s">
        <v>21</v>
      </c>
      <c r="L13" s="485" t="s">
        <v>123</v>
      </c>
    </row>
    <row r="14" spans="1:12" ht="15" customHeight="1" x14ac:dyDescent="0.25">
      <c r="A14" s="485"/>
      <c r="B14" s="485"/>
      <c r="C14" s="485"/>
      <c r="D14" s="485"/>
      <c r="E14" s="485"/>
      <c r="F14" s="36" t="s">
        <v>425</v>
      </c>
      <c r="G14" s="36" t="s">
        <v>107</v>
      </c>
      <c r="H14" s="485"/>
      <c r="I14" s="36" t="s">
        <v>425</v>
      </c>
      <c r="J14" s="36" t="s">
        <v>107</v>
      </c>
      <c r="K14" s="485"/>
      <c r="L14" s="485"/>
    </row>
    <row r="15" spans="1:12" ht="15" customHeight="1" x14ac:dyDescent="0.25">
      <c r="A15" s="485"/>
      <c r="B15" s="485"/>
      <c r="C15" s="493" t="s">
        <v>54</v>
      </c>
      <c r="D15" s="493"/>
      <c r="E15" s="131"/>
      <c r="F15" s="132"/>
      <c r="G15" s="75" t="str">
        <f>IF(AND(E15="",F15=""),"",F15/E15*100)</f>
        <v/>
      </c>
      <c r="H15" s="130"/>
      <c r="I15" s="130"/>
      <c r="J15" s="75" t="str">
        <f t="shared" ref="J15" si="2">IF(AND(H15="",I15=""),"",I15/H15*100)</f>
        <v/>
      </c>
      <c r="K15" s="130"/>
      <c r="L15" s="130" t="s">
        <v>691</v>
      </c>
    </row>
    <row r="16" spans="1:12" x14ac:dyDescent="0.25">
      <c r="A16" s="1"/>
      <c r="B16" s="1"/>
      <c r="C16" s="1"/>
      <c r="D16" s="1"/>
      <c r="E16" s="1"/>
      <c r="F16" s="1"/>
      <c r="G16" s="1"/>
      <c r="H16" s="1"/>
      <c r="I16" s="1"/>
    </row>
    <row r="17" spans="1:9" x14ac:dyDescent="0.25">
      <c r="A17" s="1"/>
      <c r="B17" s="1"/>
      <c r="C17" s="1"/>
      <c r="D17" s="1"/>
      <c r="E17" s="1"/>
      <c r="F17" s="1"/>
      <c r="G17" s="1"/>
      <c r="H17" s="1"/>
      <c r="I17" s="1"/>
    </row>
  </sheetData>
  <sheetProtection password="C5B9" sheet="1" objects="1" scenarios="1"/>
  <mergeCells count="27">
    <mergeCell ref="K13:K14"/>
    <mergeCell ref="L13:L14"/>
    <mergeCell ref="A13:B15"/>
    <mergeCell ref="C15:D15"/>
    <mergeCell ref="C6:D7"/>
    <mergeCell ref="E6:E7"/>
    <mergeCell ref="F6:G6"/>
    <mergeCell ref="C8:D8"/>
    <mergeCell ref="C9:D9"/>
    <mergeCell ref="C10:D10"/>
    <mergeCell ref="C11:D11"/>
    <mergeCell ref="C12:D12"/>
    <mergeCell ref="I13:J13"/>
    <mergeCell ref="C13:E14"/>
    <mergeCell ref="F13:G13"/>
    <mergeCell ref="H13:H14"/>
    <mergeCell ref="B3:L3"/>
    <mergeCell ref="K4:K7"/>
    <mergeCell ref="L4:L7"/>
    <mergeCell ref="E4:G4"/>
    <mergeCell ref="A6:B12"/>
    <mergeCell ref="A4:B5"/>
    <mergeCell ref="C4:D5"/>
    <mergeCell ref="E5:G5"/>
    <mergeCell ref="H4:J5"/>
    <mergeCell ref="I6:J6"/>
    <mergeCell ref="H6:H7"/>
  </mergeCells>
  <conditionalFormatting sqref="E12">
    <cfRule type="cellIs" dxfId="7" priority="10" operator="notEqual">
      <formula>$H$12</formula>
    </cfRule>
  </conditionalFormatting>
  <conditionalFormatting sqref="G12">
    <cfRule type="expression" dxfId="6" priority="1">
      <formula>"&gt;3.0"</formula>
    </cfRule>
    <cfRule type="containsBlanks" dxfId="5" priority="4">
      <formula>LEN(TRIM(G12))=0</formula>
    </cfRule>
  </conditionalFormatting>
  <conditionalFormatting sqref="G15">
    <cfRule type="containsBlanks" dxfId="4" priority="2">
      <formula>LEN(TRIM(G15))=0</formula>
    </cfRule>
    <cfRule type="cellIs" dxfId="3" priority="3" operator="greaterThan">
      <formula>3</formula>
    </cfRule>
  </conditionalFormatting>
  <pageMargins left="0.7" right="0.7" top="0.75" bottom="0.75" header="0.3" footer="0.3"/>
  <pageSetup scale="97" orientation="portrait" r:id="rId1"/>
  <headerFooter>
    <oddHeader>&amp;L&amp;G&amp;C&amp;G</oddHeader>
    <oddFooter>&amp;RNovember 2016</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F94EB13A-0019-4251-AB0C-18379777F88F}">
            <xm:f>IF(OR('4. Purchased Energy Rates'!$B$4="Section 11 ECB",$E$5="Multifamily",$E$5="Other"),G12&gt;40,G12&gt;VLOOKUP($E$5,Lists!$M$22:$N$36,2))</xm:f>
            <x14:dxf>
              <fill>
                <patternFill>
                  <bgColor rgb="FFFF0000"/>
                </patternFill>
              </fill>
            </x14:dxf>
          </x14:cfRule>
          <xm:sqref>G12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D00-000000000000}">
          <x14:formula1>
            <xm:f>Lists!$M$22:$M$38</xm:f>
          </x14:formula1>
          <xm:sqref>E5:G5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tabColor rgb="FFFFC000"/>
  </sheetPr>
  <dimension ref="A3:N16"/>
  <sheetViews>
    <sheetView view="pageLayout" topLeftCell="A34" zoomScaleNormal="100" zoomScaleSheetLayoutView="100" workbookViewId="0">
      <selection activeCell="C27" sqref="C27:G27"/>
    </sheetView>
  </sheetViews>
  <sheetFormatPr defaultRowHeight="15" x14ac:dyDescent="0.25"/>
  <cols>
    <col min="1" max="1" width="2.7109375" customWidth="1"/>
    <col min="2" max="2" width="5.28515625" customWidth="1"/>
    <col min="3" max="3" width="10.5703125" customWidth="1"/>
    <col min="4" max="4" width="2.140625" customWidth="1"/>
    <col min="5" max="5" width="17.42578125" customWidth="1"/>
    <col min="6" max="7" width="6.7109375" bestFit="1" customWidth="1"/>
    <col min="8" max="8" width="5.7109375" customWidth="1"/>
    <col min="9" max="9" width="10.7109375" customWidth="1"/>
    <col min="10" max="10" width="5.5703125" customWidth="1"/>
    <col min="11" max="12" width="5.7109375" customWidth="1"/>
    <col min="13" max="13" width="14.85546875" customWidth="1"/>
    <col min="14" max="14" width="15.140625" customWidth="1"/>
  </cols>
  <sheetData>
    <row r="3" spans="1:14" ht="15.75" customHeight="1" x14ac:dyDescent="0.25">
      <c r="A3" s="41" t="s">
        <v>693</v>
      </c>
      <c r="B3" s="391" t="s">
        <v>145</v>
      </c>
      <c r="C3" s="392"/>
      <c r="D3" s="392"/>
      <c r="E3" s="392"/>
      <c r="F3" s="392"/>
      <c r="G3" s="392"/>
      <c r="H3" s="392"/>
      <c r="I3" s="392"/>
      <c r="J3" s="392"/>
      <c r="K3" s="392"/>
      <c r="L3" s="392"/>
      <c r="M3" s="392"/>
      <c r="N3" s="406"/>
    </row>
    <row r="4" spans="1:14" s="1" customFormat="1" ht="22.5" customHeight="1" x14ac:dyDescent="0.2">
      <c r="A4" s="390" t="s">
        <v>0</v>
      </c>
      <c r="B4" s="390"/>
      <c r="C4" s="390" t="s">
        <v>146</v>
      </c>
      <c r="D4" s="39"/>
      <c r="E4" s="390" t="s">
        <v>23</v>
      </c>
      <c r="F4" s="390"/>
      <c r="G4" s="390"/>
      <c r="H4" s="390"/>
      <c r="I4" s="390" t="s">
        <v>24</v>
      </c>
      <c r="J4" s="390"/>
      <c r="K4" s="390"/>
      <c r="L4" s="390"/>
      <c r="M4" s="494" t="s">
        <v>21</v>
      </c>
      <c r="N4" s="494" t="s">
        <v>123</v>
      </c>
    </row>
    <row r="5" spans="1:14" s="1" customFormat="1" ht="22.5" x14ac:dyDescent="0.2">
      <c r="A5" s="390"/>
      <c r="B5" s="390"/>
      <c r="C5" s="390"/>
      <c r="D5" s="40" t="s">
        <v>147</v>
      </c>
      <c r="E5" s="39" t="s">
        <v>157</v>
      </c>
      <c r="F5" s="39" t="s">
        <v>154</v>
      </c>
      <c r="G5" s="39" t="s">
        <v>114</v>
      </c>
      <c r="H5" s="39" t="s">
        <v>115</v>
      </c>
      <c r="I5" s="39" t="s">
        <v>148</v>
      </c>
      <c r="J5" s="39" t="s">
        <v>154</v>
      </c>
      <c r="K5" s="39" t="s">
        <v>114</v>
      </c>
      <c r="L5" s="39" t="s">
        <v>115</v>
      </c>
      <c r="M5" s="495"/>
      <c r="N5" s="495"/>
    </row>
    <row r="6" spans="1:14" s="1" customFormat="1" ht="24" customHeight="1" x14ac:dyDescent="0.2">
      <c r="A6" s="390" t="s">
        <v>155</v>
      </c>
      <c r="B6" s="390"/>
      <c r="C6" s="116"/>
      <c r="D6" s="39">
        <v>1</v>
      </c>
      <c r="E6" s="116"/>
      <c r="F6" s="77" t="str">
        <f>IF(C6="","",IF(E6="","",IF('4. Purchased Energy Rates'!$B$4="Section 11 ECB",INDEX(Lists!$A$4:$D$8,(MATCH($E6,Lists!$A$4:$A$8,0)),(MATCH($C6,Lists!$A$4:$D$4,0))),INDEX(Lists!$F$4:$I$8,(MATCH($E6,Lists!$F$4:$F$8,0)),(MATCH($C6,Lists!$F$4:$I$4,0))))))</f>
        <v/>
      </c>
      <c r="G6" s="78" t="str">
        <f>IF(C6="","",IF(E6="","",IF('4. Purchased Energy Rates'!$B$4="Section 11 ECB",INDEX(Lists!$A$10:$D$14,(MATCH($E6,Lists!$A$10:$A$14,0)),(MATCH($C6,Lists!$A$10:$D$10,0))),INDEX(Lists!$F$10:$I$14,(MATCH($E6,Lists!$F$10:$F$14,0)),(MATCH($C6,Lists!$F$10:$I$10,0))))))</f>
        <v/>
      </c>
      <c r="H6" s="78" t="str">
        <f>IF(L6="","",L6)</f>
        <v/>
      </c>
      <c r="I6" s="133"/>
      <c r="J6" s="133"/>
      <c r="K6" s="133"/>
      <c r="L6" s="133"/>
      <c r="M6" s="133"/>
      <c r="N6" s="133" t="s">
        <v>694</v>
      </c>
    </row>
    <row r="7" spans="1:14" s="1" customFormat="1" ht="24" customHeight="1" x14ac:dyDescent="0.2">
      <c r="A7" s="390" t="s">
        <v>155</v>
      </c>
      <c r="B7" s="390"/>
      <c r="C7" s="116"/>
      <c r="D7" s="39">
        <v>2</v>
      </c>
      <c r="E7" s="116"/>
      <c r="F7" s="77" t="str">
        <f>IF(C7="","",IF(E7="","",IF('4. Purchased Energy Rates'!$B$4="Section 11 ECB",INDEX(Lists!$A$4:$D$8,(MATCH($E7,Lists!$A$4:$A$8,0)),(MATCH($C7,Lists!$A$4:$D$4,0))),INDEX(Lists!$F$4:$I$8,(MATCH($E7,Lists!$F$4:$F$8,0)),(MATCH($C7,Lists!$F$4:$I$4,0))))))</f>
        <v/>
      </c>
      <c r="G7" s="78" t="str">
        <f>IF(C7="","",IF(E7="","",IF('4. Purchased Energy Rates'!$B$4="Section 11 ECB",INDEX(Lists!$A$10:$D$14,(MATCH($E7,Lists!$A$10:$A$14,0)),(MATCH($C7,Lists!$A$10:$D$10,0))),INDEX(Lists!$F$10:$I$14,(MATCH($E7,Lists!$F$10:$F$14,0)),(MATCH($C7,Lists!$F$10:$I$10,0))))))</f>
        <v/>
      </c>
      <c r="H7" s="78" t="str">
        <f t="shared" ref="H7:H14" si="0">IF(L7="","",L7)</f>
        <v/>
      </c>
      <c r="I7" s="133"/>
      <c r="J7" s="133"/>
      <c r="K7" s="133"/>
      <c r="L7" s="133"/>
      <c r="M7" s="133"/>
      <c r="N7" s="133" t="s">
        <v>694</v>
      </c>
    </row>
    <row r="8" spans="1:14" s="1" customFormat="1" ht="24" customHeight="1" x14ac:dyDescent="0.2">
      <c r="A8" s="390" t="s">
        <v>155</v>
      </c>
      <c r="B8" s="390"/>
      <c r="C8" s="116"/>
      <c r="D8" s="39">
        <v>3</v>
      </c>
      <c r="E8" s="116"/>
      <c r="F8" s="77" t="str">
        <f>IF(C8="","",IF(E8="","",IF('4. Purchased Energy Rates'!$B$4="Section 11 ECB",INDEX(Lists!$A$4:$D$8,(MATCH($E8,Lists!$A$4:$A$8,0)),(MATCH($C8,Lists!$A$4:$D$4,0))),INDEX(Lists!$F$4:$I$8,(MATCH($E8,Lists!$F$4:$F$8,0)),(MATCH($C8,Lists!$F$4:$I$4,0))))))</f>
        <v/>
      </c>
      <c r="G8" s="78" t="str">
        <f>IF(C8="","",IF(E8="","",IF('4. Purchased Energy Rates'!$B$4="Section 11 ECB",INDEX(Lists!$A$10:$D$14,(MATCH($E8,Lists!$A$10:$A$14,0)),(MATCH($C8,Lists!$A$10:$D$10,0))),INDEX(Lists!$F$10:$I$14,(MATCH($E8,Lists!$F$10:$F$14,0)),(MATCH($C8,Lists!$F$10:$I$10,0))))))</f>
        <v/>
      </c>
      <c r="H8" s="78" t="str">
        <f t="shared" si="0"/>
        <v/>
      </c>
      <c r="I8" s="133"/>
      <c r="J8" s="133"/>
      <c r="K8" s="133"/>
      <c r="L8" s="133"/>
      <c r="M8" s="133"/>
      <c r="N8" s="112"/>
    </row>
    <row r="9" spans="1:14" s="1" customFormat="1" ht="24" customHeight="1" x14ac:dyDescent="0.2">
      <c r="A9" s="390" t="s">
        <v>155</v>
      </c>
      <c r="B9" s="390"/>
      <c r="C9" s="116"/>
      <c r="D9" s="39">
        <v>4</v>
      </c>
      <c r="E9" s="116"/>
      <c r="F9" s="77" t="str">
        <f>IF(C9="","",IF(E9="","",IF('4. Purchased Energy Rates'!$B$4="Section 11 ECB",INDEX(Lists!$A$4:$D$8,(MATCH($E9,Lists!$A$4:$A$8,0)),(MATCH($C9,Lists!$A$4:$D$4,0))),INDEX(Lists!$F$4:$I$8,(MATCH($E9,Lists!$F$4:$F$8,0)),(MATCH($C9,Lists!$F$4:$I$4,0))))))</f>
        <v/>
      </c>
      <c r="G9" s="78" t="str">
        <f>IF(C9="","",IF(E9="","",IF('4. Purchased Energy Rates'!$B$4="Section 11 ECB",INDEX(Lists!$A$10:$D$14,(MATCH($E9,Lists!$A$10:$A$14,0)),(MATCH($C9,Lists!$A$10:$D$10,0))),INDEX(Lists!$F$10:$I$14,(MATCH($E9,Lists!$F$10:$F$14,0)),(MATCH($C9,Lists!$F$10:$I$10,0))))))</f>
        <v/>
      </c>
      <c r="H9" s="78" t="str">
        <f t="shared" si="0"/>
        <v/>
      </c>
      <c r="I9" s="133"/>
      <c r="J9" s="133"/>
      <c r="K9" s="133"/>
      <c r="L9" s="133"/>
      <c r="M9" s="133"/>
      <c r="N9" s="112"/>
    </row>
    <row r="10" spans="1:14" s="1" customFormat="1" ht="24" customHeight="1" x14ac:dyDescent="0.2">
      <c r="A10" s="390" t="s">
        <v>155</v>
      </c>
      <c r="B10" s="390"/>
      <c r="C10" s="116"/>
      <c r="D10" s="39">
        <v>5</v>
      </c>
      <c r="E10" s="116"/>
      <c r="F10" s="77" t="str">
        <f>IF(C10="","",IF(E10="","",IF('4. Purchased Energy Rates'!$B$4="Section 11 ECB",INDEX(Lists!$A$4:$D$8,(MATCH($E10,Lists!$A$4:$A$8,0)),(MATCH($C10,Lists!$A$4:$D$4,0))),INDEX(Lists!$F$4:$I$8,(MATCH($E10,Lists!$F$4:$F$8,0)),(MATCH($C10,Lists!$F$4:$I$4,0))))))</f>
        <v/>
      </c>
      <c r="G10" s="78" t="str">
        <f>IF(C10="","",IF(E10="","",IF('4. Purchased Energy Rates'!$B$4="Section 11 ECB",INDEX(Lists!$A$10:$D$14,(MATCH($E10,Lists!$A$10:$A$14,0)),(MATCH($C10,Lists!$A$10:$D$10,0))),INDEX(Lists!$F$10:$I$14,(MATCH($E10,Lists!$F$10:$F$14,0)),(MATCH($C10,Lists!$F$10:$I$10,0))))))</f>
        <v/>
      </c>
      <c r="H10" s="78" t="str">
        <f t="shared" si="0"/>
        <v/>
      </c>
      <c r="I10" s="133"/>
      <c r="J10" s="133"/>
      <c r="K10" s="133"/>
      <c r="L10" s="133"/>
      <c r="M10" s="133"/>
      <c r="N10" s="112"/>
    </row>
    <row r="11" spans="1:14" ht="24" customHeight="1" x14ac:dyDescent="0.25">
      <c r="A11" s="390" t="s">
        <v>155</v>
      </c>
      <c r="B11" s="390"/>
      <c r="C11" s="116"/>
      <c r="D11" s="39">
        <v>6</v>
      </c>
      <c r="E11" s="116"/>
      <c r="F11" s="77" t="str">
        <f>IF(C11="","",IF(E11="","",IF('4. Purchased Energy Rates'!$B$4="Section 11 ECB",INDEX(Lists!$A$4:$D$8,(MATCH($E11,Lists!$A$4:$A$8,0)),(MATCH($C11,Lists!$A$4:$D$4,0))),INDEX(Lists!$F$4:$I$8,(MATCH($E11,Lists!$F$4:$F$8,0)),(MATCH($C11,Lists!$F$4:$I$4,0))))))</f>
        <v/>
      </c>
      <c r="G11" s="78" t="str">
        <f>IF(C11="","",IF(E11="","",IF('4. Purchased Energy Rates'!$B$4="Section 11 ECB",INDEX(Lists!$A$10:$D$14,(MATCH($E11,Lists!$A$10:$A$14,0)),(MATCH($C11,Lists!$A$10:$D$10,0))),INDEX(Lists!$F$10:$I$14,(MATCH($E11,Lists!$F$10:$F$14,0)),(MATCH($C11,Lists!$F$10:$I$10,0))))))</f>
        <v/>
      </c>
      <c r="H11" s="78" t="str">
        <f t="shared" si="0"/>
        <v/>
      </c>
      <c r="I11" s="133"/>
      <c r="J11" s="133"/>
      <c r="K11" s="133"/>
      <c r="L11" s="133"/>
      <c r="M11" s="133"/>
      <c r="N11" s="133"/>
    </row>
    <row r="12" spans="1:14" ht="24" customHeight="1" x14ac:dyDescent="0.25">
      <c r="A12" s="390" t="s">
        <v>155</v>
      </c>
      <c r="B12" s="390"/>
      <c r="C12" s="116"/>
      <c r="D12" s="39">
        <v>7</v>
      </c>
      <c r="E12" s="116"/>
      <c r="F12" s="77" t="str">
        <f>IF(C12="","",IF(E12="","",IF('4. Purchased Energy Rates'!$B$4="Section 11 ECB",INDEX(Lists!$A$4:$D$8,(MATCH($E12,Lists!$A$4:$A$8,0)),(MATCH($C12,Lists!$A$4:$D$4,0))),INDEX(Lists!$F$4:$I$8,(MATCH($E12,Lists!$F$4:$F$8,0)),(MATCH($C12,Lists!$F$4:$I$4,0))))))</f>
        <v/>
      </c>
      <c r="G12" s="78" t="str">
        <f>IF(C12="","",IF(E12="","",IF('4. Purchased Energy Rates'!$B$4="Section 11 ECB",INDEX(Lists!$A$10:$D$14,(MATCH($E12,Lists!$A$10:$A$14,0)),(MATCH($C12,Lists!$A$10:$D$10,0))),INDEX(Lists!$F$10:$I$14,(MATCH($E12,Lists!$F$10:$F$14,0)),(MATCH($C12,Lists!$F$10:$I$10,0))))))</f>
        <v/>
      </c>
      <c r="H12" s="78" t="str">
        <f t="shared" si="0"/>
        <v/>
      </c>
      <c r="I12" s="133"/>
      <c r="J12" s="133"/>
      <c r="K12" s="133"/>
      <c r="L12" s="133"/>
      <c r="M12" s="133"/>
      <c r="N12" s="133"/>
    </row>
    <row r="13" spans="1:14" ht="24" customHeight="1" x14ac:dyDescent="0.25">
      <c r="A13" s="390" t="s">
        <v>156</v>
      </c>
      <c r="B13" s="390"/>
      <c r="C13" s="116"/>
      <c r="D13" s="39">
        <v>1</v>
      </c>
      <c r="E13" s="116"/>
      <c r="F13" s="77" t="str">
        <f>IF(C13="","",IF(E13="","",IF('4. Purchased Energy Rates'!$B$4="Section 11 ECB",INDEX(Lists!$A$16:$D$18,(MATCH($E13,Lists!$A$16:$A$18,0)),(MATCH($C13,Lists!$A$16:$D$16,0))),INDEX(Lists!$F$16:$I$18,(MATCH($E13,Lists!$F$16:$F$18,0)),(MATCH($C13,Lists!$F$16:$I$16,0))))))</f>
        <v/>
      </c>
      <c r="G13" s="78" t="str">
        <f>IF(C13="","",IF(E13="","",IF('4. Purchased Energy Rates'!$B$4="Section 11 ECB",INDEX(Lists!$A$20:$D$22,(MATCH($E13,Lists!$A$20:$A$22,0)),(MATCH($C13,Lists!$A$20:$D$20,0))),INDEX(Lists!$F$20:$I$22,(MATCH($E13,Lists!$F$20:$F$22,0)),(MATCH($C13,Lists!$F$20:$I$20,0))))))</f>
        <v/>
      </c>
      <c r="H13" s="78" t="str">
        <f t="shared" si="0"/>
        <v/>
      </c>
      <c r="I13" s="133"/>
      <c r="J13" s="133"/>
      <c r="K13" s="133"/>
      <c r="L13" s="133"/>
      <c r="M13" s="133"/>
      <c r="N13" s="133" t="s">
        <v>694</v>
      </c>
    </row>
    <row r="14" spans="1:14" ht="24" customHeight="1" x14ac:dyDescent="0.25">
      <c r="A14" s="390" t="s">
        <v>156</v>
      </c>
      <c r="B14" s="390"/>
      <c r="C14" s="116"/>
      <c r="D14" s="39">
        <v>2</v>
      </c>
      <c r="E14" s="116"/>
      <c r="F14" s="77" t="str">
        <f>IF(C14="","",IF(E14="","",IF('4. Purchased Energy Rates'!$B$4="Section 11 ECB",INDEX(Lists!$A$16:$D$18,(MATCH($E14,Lists!$A$16:$A$18,0)),(MATCH($C14,Lists!$A$16:$D$16,0))),INDEX(Lists!$F$16:$I$18,(MATCH($E14,Lists!$F$16:$F$18,0)),(MATCH($C14,Lists!$F$16:$I$16,0))))))</f>
        <v/>
      </c>
      <c r="G14" s="78" t="str">
        <f>IF(C14="","",IF(E14="","",IF('4. Purchased Energy Rates'!$B$4="Section 11 ECB",INDEX(Lists!$A$20:$D$22,(MATCH($E14,Lists!$A$20:$A$22,0)),(MATCH($C14,Lists!$A$20:$D$20,0))),INDEX(Lists!$F$20:$I$22,(MATCH($E14,Lists!$F$20:$F$22,0)),(MATCH($C14,Lists!$F$20:$I$20,0))))))</f>
        <v/>
      </c>
      <c r="H14" s="78" t="str">
        <f t="shared" si="0"/>
        <v/>
      </c>
      <c r="I14" s="133"/>
      <c r="J14" s="133"/>
      <c r="K14" s="133"/>
      <c r="L14" s="133"/>
      <c r="M14" s="133"/>
      <c r="N14" s="133"/>
    </row>
    <row r="15" spans="1:14" ht="27" customHeight="1" x14ac:dyDescent="0.25">
      <c r="A15" s="395" t="s">
        <v>116</v>
      </c>
      <c r="B15" s="396"/>
      <c r="C15" s="407"/>
      <c r="D15" s="399"/>
      <c r="E15" s="394" t="s">
        <v>427</v>
      </c>
      <c r="F15" s="394"/>
      <c r="G15" s="394"/>
      <c r="H15" s="394"/>
      <c r="I15" s="393" t="s">
        <v>117</v>
      </c>
      <c r="J15" s="393"/>
      <c r="K15" s="393"/>
      <c r="L15" s="393"/>
      <c r="M15" s="496"/>
      <c r="N15" s="496"/>
    </row>
    <row r="16" spans="1:14" ht="32.25" customHeight="1" x14ac:dyDescent="0.25">
      <c r="A16" s="397"/>
      <c r="B16" s="398"/>
      <c r="C16" s="408"/>
      <c r="D16" s="399"/>
      <c r="E16" s="394" t="s">
        <v>428</v>
      </c>
      <c r="F16" s="394"/>
      <c r="G16" s="394"/>
      <c r="H16" s="394"/>
      <c r="I16" s="393"/>
      <c r="J16" s="393"/>
      <c r="K16" s="393"/>
      <c r="L16" s="393"/>
      <c r="M16" s="496"/>
      <c r="N16" s="496"/>
    </row>
  </sheetData>
  <sheetProtection password="C5B9" sheet="1" objects="1" scenarios="1"/>
  <mergeCells count="23">
    <mergeCell ref="A15:C16"/>
    <mergeCell ref="M15:M16"/>
    <mergeCell ref="N15:N16"/>
    <mergeCell ref="D15:D16"/>
    <mergeCell ref="E15:H15"/>
    <mergeCell ref="E16:H16"/>
    <mergeCell ref="I15:L16"/>
    <mergeCell ref="B3:N3"/>
    <mergeCell ref="A6:B6"/>
    <mergeCell ref="A7:B7"/>
    <mergeCell ref="A8:B8"/>
    <mergeCell ref="A9:B9"/>
    <mergeCell ref="A12:B12"/>
    <mergeCell ref="A13:B13"/>
    <mergeCell ref="A14:B14"/>
    <mergeCell ref="M4:M5"/>
    <mergeCell ref="N4:N5"/>
    <mergeCell ref="A11:B11"/>
    <mergeCell ref="A4:B5"/>
    <mergeCell ref="C4:C5"/>
    <mergeCell ref="E4:H4"/>
    <mergeCell ref="I4:L4"/>
    <mergeCell ref="A10:B10"/>
  </mergeCells>
  <dataValidations count="2">
    <dataValidation type="list" allowBlank="1" showInputMessage="1" showErrorMessage="1" sqref="C6:C14" xr:uid="{00000000-0002-0000-1E00-000000000000}">
      <formula1>Env_Type</formula1>
    </dataValidation>
    <dataValidation type="list" allowBlank="1" showInputMessage="1" showErrorMessage="1" sqref="E6:E12" xr:uid="{00000000-0002-0000-1E00-000001000000}">
      <formula1>Fenestration</formula1>
    </dataValidation>
  </dataValidations>
  <pageMargins left="0.7" right="0.7" top="0.75" bottom="0.75" header="0.3" footer="0.3"/>
  <pageSetup orientation="landscape" r:id="rId1"/>
  <headerFooter>
    <oddHeader>&amp;L&amp;G&amp;C&amp;G</oddHeader>
    <oddFooter>&amp;RNovember 2016</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2000000}">
          <x14:formula1>
            <xm:f>Lists!$A$17:$A$18</xm:f>
          </x14:formula1>
          <xm:sqref>E13:E14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
    <tabColor rgb="FFFFC000"/>
  </sheetPr>
  <dimension ref="A3:K23"/>
  <sheetViews>
    <sheetView view="pageLayout" topLeftCell="A3" zoomScaleNormal="100" zoomScaleSheetLayoutView="100" workbookViewId="0">
      <selection activeCell="J14" sqref="J14"/>
    </sheetView>
  </sheetViews>
  <sheetFormatPr defaultRowHeight="15" x14ac:dyDescent="0.25"/>
  <cols>
    <col min="1" max="1" width="11.85546875" customWidth="1"/>
    <col min="2" max="2" width="10.85546875" customWidth="1"/>
    <col min="3" max="3" width="3.85546875" customWidth="1"/>
    <col min="4" max="4" width="19.5703125" customWidth="1"/>
    <col min="5" max="5" width="8.42578125" customWidth="1"/>
    <col min="6" max="6" width="17.28515625" customWidth="1"/>
    <col min="7" max="8" width="8.5703125" customWidth="1"/>
    <col min="9" max="9" width="11.140625" customWidth="1"/>
    <col min="10" max="10" width="11.42578125" customWidth="1"/>
    <col min="11" max="11" width="5.7109375" customWidth="1"/>
    <col min="12" max="12" width="14.85546875" customWidth="1"/>
    <col min="13" max="13" width="15.140625" customWidth="1"/>
  </cols>
  <sheetData>
    <row r="3" spans="1:11" s="1" customFormat="1" ht="10.15" customHeight="1" x14ac:dyDescent="0.2">
      <c r="A3" s="103" t="s">
        <v>695</v>
      </c>
      <c r="B3" s="390" t="s">
        <v>168</v>
      </c>
      <c r="C3" s="401" t="s">
        <v>147</v>
      </c>
      <c r="D3" s="390" t="s">
        <v>23</v>
      </c>
      <c r="E3" s="390"/>
      <c r="F3" s="390" t="s">
        <v>24</v>
      </c>
      <c r="G3" s="390"/>
      <c r="H3" s="39"/>
      <c r="I3" s="390" t="s">
        <v>158</v>
      </c>
      <c r="J3" s="390" t="s">
        <v>123</v>
      </c>
      <c r="K3" s="3"/>
    </row>
    <row r="4" spans="1:11" s="1" customFormat="1" ht="44.25" customHeight="1" x14ac:dyDescent="0.2">
      <c r="A4" s="102" t="s">
        <v>0</v>
      </c>
      <c r="B4" s="390"/>
      <c r="C4" s="401"/>
      <c r="D4" s="39" t="s">
        <v>1</v>
      </c>
      <c r="E4" s="39" t="s">
        <v>196</v>
      </c>
      <c r="F4" s="39" t="s">
        <v>1</v>
      </c>
      <c r="G4" s="39" t="s">
        <v>159</v>
      </c>
      <c r="H4" s="39" t="s">
        <v>481</v>
      </c>
      <c r="I4" s="390"/>
      <c r="J4" s="390"/>
      <c r="K4" s="3"/>
    </row>
    <row r="5" spans="1:11" s="1" customFormat="1" ht="20.100000000000001" customHeight="1" x14ac:dyDescent="0.2">
      <c r="A5" s="399" t="s">
        <v>160</v>
      </c>
      <c r="B5" s="417" t="s">
        <v>149</v>
      </c>
      <c r="C5" s="399">
        <v>1</v>
      </c>
      <c r="D5" s="136" t="s">
        <v>169</v>
      </c>
      <c r="E5" s="79" t="str">
        <f>IF(B5="","",IF(D5="","",IF('4. Purchased Energy Rates'!$B$4="Section 11 ECB",INDEX(Lists!$A$24:$D$27,(MATCH($D5,Lists!$A$24:$A$27,0)),(MATCH($B5,Lists!$A$24:$D$24,0))),INDEX(Lists!$F$24:$I$27,(MATCH($D5,Lists!$F$24:$F$27,0)),(MATCH($B5,Lists!$F$24:$I$24,0))))))</f>
        <v>U-0.032</v>
      </c>
      <c r="F5" s="134"/>
      <c r="G5" s="134"/>
      <c r="H5" s="135"/>
      <c r="I5" s="394"/>
      <c r="J5" s="394" t="s">
        <v>691</v>
      </c>
      <c r="K5" s="3"/>
    </row>
    <row r="6" spans="1:11" s="1" customFormat="1" ht="20.100000000000001" customHeight="1" x14ac:dyDescent="0.2">
      <c r="A6" s="399"/>
      <c r="B6" s="417"/>
      <c r="C6" s="399"/>
      <c r="D6" s="37" t="s">
        <v>161</v>
      </c>
      <c r="E6" s="134" t="s">
        <v>162</v>
      </c>
      <c r="F6" s="134"/>
      <c r="G6" s="134"/>
      <c r="H6" s="134"/>
      <c r="I6" s="394"/>
      <c r="J6" s="394"/>
      <c r="K6" s="3"/>
    </row>
    <row r="7" spans="1:11" s="1" customFormat="1" ht="20.100000000000001" hidden="1" customHeight="1" x14ac:dyDescent="0.2">
      <c r="A7" s="399"/>
      <c r="B7" s="417"/>
      <c r="C7" s="399">
        <v>2</v>
      </c>
      <c r="D7" s="42"/>
      <c r="E7" s="79" t="str">
        <f>IF(B7="","",IF(D7="","",IF('4. Purchased Energy Rates'!$B$4="Section 11 ECB",INDEX(Lists!$A$24:$D$27,(MATCH($D7,Lists!$A$24:$A$27,0)),(MATCH($B7,Lists!$A$24:$D$24,0))),INDEX(Lists!$F$24:$I$27,(MATCH($D7,Lists!$F$24:$F$27,0)),(MATCH($B7,Lists!$F$24:$I$24,0))))))</f>
        <v/>
      </c>
      <c r="F7" s="134"/>
      <c r="G7" s="133"/>
      <c r="H7" s="133"/>
      <c r="I7" s="496"/>
      <c r="J7" s="496"/>
      <c r="K7" s="3"/>
    </row>
    <row r="8" spans="1:11" s="1" customFormat="1" ht="20.100000000000001" hidden="1" customHeight="1" x14ac:dyDescent="0.2">
      <c r="A8" s="399"/>
      <c r="B8" s="417"/>
      <c r="C8" s="399"/>
      <c r="D8" s="37" t="s">
        <v>161</v>
      </c>
      <c r="E8" s="12" t="s">
        <v>162</v>
      </c>
      <c r="F8" s="134"/>
      <c r="G8" s="134"/>
      <c r="H8" s="134"/>
      <c r="I8" s="496"/>
      <c r="J8" s="496"/>
      <c r="K8" s="3"/>
    </row>
    <row r="9" spans="1:11" s="1" customFormat="1" ht="20.100000000000001" customHeight="1" x14ac:dyDescent="0.2">
      <c r="A9" s="390" t="s">
        <v>163</v>
      </c>
      <c r="B9" s="116" t="s">
        <v>149</v>
      </c>
      <c r="C9" s="37">
        <v>1</v>
      </c>
      <c r="D9" s="136" t="s">
        <v>172</v>
      </c>
      <c r="E9" s="79" t="str">
        <f>IF(B9="","",IF(D9="","",IF('4. Purchased Energy Rates'!$B$4="Section 11 ECB",INDEX(Lists!$A$28:$D$32,(MATCH($D9,Lists!$A$28:$A$32,0)),(MATCH($B9,Lists!$A$28:$D$28,0))),INDEX(Lists!$F$28:$I$32,(MATCH($D9,Lists!$F$28:$F$32,0)),(MATCH($B9,Lists!$F$28:$I$28,0))))))</f>
        <v>U-0.104</v>
      </c>
      <c r="F9" s="134"/>
      <c r="G9" s="133"/>
      <c r="H9" s="135"/>
      <c r="I9" s="133"/>
      <c r="J9" s="133" t="s">
        <v>691</v>
      </c>
      <c r="K9" s="3"/>
    </row>
    <row r="10" spans="1:11" s="1" customFormat="1" ht="20.100000000000001" customHeight="1" x14ac:dyDescent="0.2">
      <c r="A10" s="390"/>
      <c r="B10" s="116"/>
      <c r="C10" s="37">
        <v>2</v>
      </c>
      <c r="D10" s="136"/>
      <c r="E10" s="79" t="str">
        <f>IF(B10="","",IF(D10="","",IF('4. Purchased Energy Rates'!$B$4="Section 11 ECB",INDEX(Lists!$A$28:$D$32,(MATCH($D10,Lists!$A$28:$A$32,0)),(MATCH($B10,Lists!$A$28:$D$28,0))),INDEX(Lists!$F$28:$I$32,(MATCH($D10,Lists!$F$28:$F$32,0)),(MATCH($B10,Lists!$F$28:$I$28,0))))))</f>
        <v/>
      </c>
      <c r="F10" s="134"/>
      <c r="G10" s="133"/>
      <c r="H10" s="135"/>
      <c r="I10" s="133"/>
      <c r="J10" s="133"/>
      <c r="K10" s="3"/>
    </row>
    <row r="11" spans="1:11" s="1" customFormat="1" ht="20.100000000000001" customHeight="1" x14ac:dyDescent="0.2">
      <c r="A11" s="390"/>
      <c r="B11" s="116"/>
      <c r="C11" s="37">
        <v>3</v>
      </c>
      <c r="D11" s="136"/>
      <c r="E11" s="79" t="str">
        <f>IF(B11="","",IF(D11="","",IF('4. Purchased Energy Rates'!$B$4="Section 11 ECB",INDEX(Lists!$A$28:$D$32,(MATCH($D11,Lists!$A$28:$A$32,0)),(MATCH($B11,Lists!$A$28:$D$28,0))),INDEX(Lists!$F$28:$I$32,(MATCH($D11,Lists!$F$28:$F$32,0)),(MATCH($B11,Lists!$F$28:$I$28,0))))))</f>
        <v/>
      </c>
      <c r="F11" s="134"/>
      <c r="G11" s="133"/>
      <c r="H11" s="135"/>
      <c r="I11" s="133"/>
      <c r="J11" s="133"/>
      <c r="K11" s="3"/>
    </row>
    <row r="12" spans="1:11" s="1" customFormat="1" ht="20.100000000000001" customHeight="1" x14ac:dyDescent="0.2">
      <c r="A12" s="390"/>
      <c r="B12" s="116"/>
      <c r="C12" s="37">
        <v>4</v>
      </c>
      <c r="D12" s="136"/>
      <c r="E12" s="79" t="str">
        <f>IF(B12="","",IF(D12="","",IF('4. Purchased Energy Rates'!$B$4="Section 11 ECB",INDEX(Lists!$A$28:$D$32,(MATCH($D12,Lists!$A$28:$A$32,0)),(MATCH($B12,Lists!$A$28:$D$28,0))),INDEX(Lists!$F$28:$I$32,(MATCH($D12,Lists!$F$28:$F$32,0)),(MATCH($B12,Lists!$F$28:$I$28,0))))))</f>
        <v/>
      </c>
      <c r="F12" s="134"/>
      <c r="G12" s="133"/>
      <c r="H12" s="135"/>
      <c r="I12" s="133"/>
      <c r="J12" s="133"/>
      <c r="K12" s="3"/>
    </row>
    <row r="13" spans="1:11" s="1" customFormat="1" ht="20.100000000000001" customHeight="1" x14ac:dyDescent="0.2">
      <c r="A13" s="390"/>
      <c r="B13" s="116"/>
      <c r="C13" s="37">
        <v>5</v>
      </c>
      <c r="D13" s="136"/>
      <c r="E13" s="79" t="str">
        <f>IF(B13="","",IF(D13="","",IF('4. Purchased Energy Rates'!$B$4="Section 11 ECB",INDEX(Lists!$A$28:$D$32,(MATCH($D13,Lists!$A$28:$A$32,0)),(MATCH($B13,Lists!$A$28:$D$28,0))),INDEX(Lists!$F$28:$I$32,(MATCH($D13,Lists!$F$28:$F$32,0)),(MATCH($B13,Lists!$F$28:$I$28,0))))))</f>
        <v/>
      </c>
      <c r="F13" s="134"/>
      <c r="G13" s="133"/>
      <c r="H13" s="135"/>
      <c r="I13" s="133"/>
      <c r="J13" s="133"/>
      <c r="K13" s="3"/>
    </row>
    <row r="14" spans="1:11" s="1" customFormat="1" ht="20.100000000000001" customHeight="1" x14ac:dyDescent="0.2">
      <c r="A14" s="390"/>
      <c r="B14" s="116"/>
      <c r="C14" s="37">
        <v>6</v>
      </c>
      <c r="D14" s="136"/>
      <c r="E14" s="79" t="str">
        <f>IF(B14="","",IF(D14="","",IF('4. Purchased Energy Rates'!$B$4="Section 11 ECB",INDEX(Lists!$A$28:$D$32,(MATCH($D14,Lists!$A$28:$A$32,0)),(MATCH($B14,Lists!$A$28:$D$28,0))),INDEX(Lists!$F$28:$I$32,(MATCH($D14,Lists!$F$28:$F$32,0)),(MATCH($B14,Lists!$F$28:$I$28,0))))))</f>
        <v/>
      </c>
      <c r="F14" s="134"/>
      <c r="G14" s="133"/>
      <c r="H14" s="135"/>
      <c r="I14" s="133"/>
      <c r="J14" s="133"/>
      <c r="K14" s="3"/>
    </row>
    <row r="15" spans="1:11" s="1" customFormat="1" ht="20.100000000000001" customHeight="1" x14ac:dyDescent="0.2">
      <c r="A15" s="390"/>
      <c r="B15" s="116"/>
      <c r="C15" s="37">
        <v>7</v>
      </c>
      <c r="D15" s="136"/>
      <c r="E15" s="79" t="str">
        <f>IF(B15="","",IF(D15="","",IF('4. Purchased Energy Rates'!$B$4="Section 11 ECB",INDEX(Lists!$A$28:$D$32,(MATCH($D15,Lists!$A$28:$A$32,0)),(MATCH($B15,Lists!$A$28:$D$28,0))),INDEX(Lists!$F$28:$I$32,(MATCH($D15,Lists!$F$28:$F$32,0)),(MATCH($B15,Lists!$F$28:$I$28,0))))))</f>
        <v/>
      </c>
      <c r="F15" s="134"/>
      <c r="G15" s="133"/>
      <c r="H15" s="135"/>
      <c r="I15" s="133"/>
      <c r="J15" s="133"/>
      <c r="K15" s="3"/>
    </row>
    <row r="16" spans="1:11" s="1" customFormat="1" ht="20.100000000000001" customHeight="1" x14ac:dyDescent="0.2">
      <c r="A16" s="390"/>
      <c r="B16" s="116"/>
      <c r="C16" s="37">
        <v>8</v>
      </c>
      <c r="D16" s="136"/>
      <c r="E16" s="79" t="str">
        <f>IF(B16="","",IF(D16="","",IF('4. Purchased Energy Rates'!$B$4="Section 11 ECB",INDEX(Lists!$A$28:$D$32,(MATCH($D16,Lists!$A$28:$A$32,0)),(MATCH($B16,Lists!$A$28:$D$28,0))),INDEX(Lists!$F$28:$I$32,(MATCH($D16,Lists!$F$28:$F$32,0)),(MATCH($B16,Lists!$F$28:$I$28,0))))))</f>
        <v/>
      </c>
      <c r="F16" s="134"/>
      <c r="G16" s="133"/>
      <c r="H16" s="135"/>
      <c r="I16" s="133"/>
      <c r="J16" s="133"/>
      <c r="K16" s="3"/>
    </row>
    <row r="17" spans="1:11" s="1" customFormat="1" ht="20.100000000000001" customHeight="1" x14ac:dyDescent="0.2">
      <c r="A17" s="399" t="s">
        <v>164</v>
      </c>
      <c r="B17" s="136" t="s">
        <v>149</v>
      </c>
      <c r="C17" s="37">
        <v>1</v>
      </c>
      <c r="D17" s="136" t="s">
        <v>175</v>
      </c>
      <c r="E17" s="79" t="str">
        <f>IF(B17="","",IF(D17="","",IF('4. Purchased Energy Rates'!$B$4="Section 11 ECB",INDEX(Lists!$A$33:$D$34,(MATCH($D17,Lists!$A$33:$A$34,0)),(MATCH($B17,Lists!$A$33:$D$33,0))),INDEX(Lists!$F$33:$I$34,(MATCH($D17,Lists!$F$33:$F$34,0)),(MATCH($B17,Lists!$F$33:$I$33,0))))))</f>
        <v>C-0.119</v>
      </c>
      <c r="F17" s="134"/>
      <c r="G17" s="134"/>
      <c r="H17" s="134"/>
      <c r="I17" s="133"/>
      <c r="J17" s="133" t="s">
        <v>691</v>
      </c>
      <c r="K17" s="3"/>
    </row>
    <row r="18" spans="1:11" s="1" customFormat="1" ht="20.100000000000001" customHeight="1" x14ac:dyDescent="0.2">
      <c r="A18" s="399"/>
      <c r="B18" s="116"/>
      <c r="C18" s="37">
        <v>2</v>
      </c>
      <c r="D18" s="136"/>
      <c r="E18" s="79" t="str">
        <f>IF(B18="","",IF(D18="","",IF('4. Purchased Energy Rates'!$B$4="Section 11 ECB",INDEX(Lists!$A$33:$D$34,(MATCH($D18,Lists!$A$33:$A$34,0)),(MATCH($B18,Lists!$A$33:$D$33,0))),INDEX(Lists!$F$33:$I$34,(MATCH($D18,Lists!$F$33:$F$34,0)),(MATCH($B18,Lists!$F$33:$I$33,0))))))</f>
        <v/>
      </c>
      <c r="F18" s="134"/>
      <c r="G18" s="133"/>
      <c r="H18" s="133"/>
      <c r="I18" s="133"/>
      <c r="J18" s="133"/>
      <c r="K18" s="3"/>
    </row>
    <row r="19" spans="1:11" s="1" customFormat="1" ht="27" customHeight="1" x14ac:dyDescent="0.2">
      <c r="A19" s="37" t="s">
        <v>165</v>
      </c>
      <c r="B19" s="116"/>
      <c r="C19" s="37">
        <v>1</v>
      </c>
      <c r="D19" s="136"/>
      <c r="E19" s="79" t="str">
        <f>IF(B19="","",IF(D19="","",IF('4. Purchased Energy Rates'!$B$4="Section 11 ECB",INDEX(Lists!$A$35:$D$38,(MATCH($D19,Lists!$A$35:$A$38,0)),(MATCH($B19,Lists!$A$35:$D$35,0))),INDEX(Lists!$F$35:$I$38,(MATCH($D19,Lists!$F$35:$F$38,0)),(MATCH($B19,Lists!$F$35:$I$35,0))))))</f>
        <v/>
      </c>
      <c r="F19" s="134"/>
      <c r="G19" s="133"/>
      <c r="H19" s="133"/>
      <c r="I19" s="133"/>
      <c r="J19" s="133"/>
      <c r="K19" s="3"/>
    </row>
    <row r="20" spans="1:11" s="1" customFormat="1" ht="21" customHeight="1" x14ac:dyDescent="0.2">
      <c r="A20" s="37" t="s">
        <v>166</v>
      </c>
      <c r="B20" s="116"/>
      <c r="C20" s="37">
        <v>1</v>
      </c>
      <c r="D20" s="136"/>
      <c r="E20" s="79" t="str">
        <f>IF(B20="","",IF(D20="","",IF('4. Purchased Energy Rates'!$B$4="Section 11 ECB",INDEX(Lists!$A$39:$D$41,(MATCH($D20,Lists!$A$39:$A$41,0)),(MATCH($B20,Lists!$A$39:$D$39,0))),INDEX(Lists!$F$39:$I$41,(MATCH($D20,Lists!$F$39:$F$41,0)),(MATCH($B20,Lists!$F$39:$I$39,0))))))</f>
        <v/>
      </c>
      <c r="F20" s="134"/>
      <c r="G20" s="133"/>
      <c r="H20" s="133"/>
      <c r="I20" s="133"/>
      <c r="J20" s="133"/>
      <c r="K20" s="4"/>
    </row>
    <row r="21" spans="1:11" s="1" customFormat="1" ht="20.100000000000001" customHeight="1" x14ac:dyDescent="0.2">
      <c r="A21" s="390" t="s">
        <v>167</v>
      </c>
      <c r="B21" s="116" t="s">
        <v>149</v>
      </c>
      <c r="C21" s="37">
        <v>1</v>
      </c>
      <c r="D21" s="136" t="s">
        <v>179</v>
      </c>
      <c r="E21" s="79" t="str">
        <f>IF(B21="","",IF(D21="","",IF('4. Purchased Energy Rates'!$B$4="Section 11 ECB",INDEX(Lists!$A$42:$D$44,(MATCH($D21,Lists!$A$42:$A$44,0)),(MATCH($B21,Lists!$A$42:$D$42,0))),INDEX(Lists!$F$42:$I$44,(MATCH($D21,Lists!$F$42:$F$44,0)),(MATCH($B21,Lists!$F$42:$I$42,0))))))</f>
        <v>U-0.500</v>
      </c>
      <c r="F21" s="134"/>
      <c r="G21" s="133"/>
      <c r="H21" s="133"/>
      <c r="I21" s="133"/>
      <c r="J21" s="133" t="s">
        <v>840</v>
      </c>
      <c r="K21" s="3"/>
    </row>
    <row r="22" spans="1:11" s="1" customFormat="1" ht="20.100000000000001" customHeight="1" x14ac:dyDescent="0.2">
      <c r="A22" s="390"/>
      <c r="B22" s="136"/>
      <c r="C22" s="37">
        <v>2</v>
      </c>
      <c r="D22" s="136"/>
      <c r="E22" s="79" t="str">
        <f>IF(B22="","",IF(D22="","",IF('4. Purchased Energy Rates'!$B$4="Section 11 ECB",INDEX(Lists!$A$42:$D$44,(MATCH($D22,Lists!$A$42:$A$44,0)),(MATCH($B22,Lists!$A$42:$D$42,0))),INDEX(Lists!$F$42:$I$44,(MATCH($D22,Lists!$F$42:$F$44,0)),(MATCH($B22,Lists!$F$42:$I$42,0))))))</f>
        <v/>
      </c>
      <c r="F22" s="134"/>
      <c r="G22" s="134"/>
      <c r="H22" s="134"/>
      <c r="I22" s="134"/>
      <c r="J22" s="134"/>
      <c r="K22" s="3"/>
    </row>
    <row r="23" spans="1:11" ht="15" customHeight="1" x14ac:dyDescent="0.25"/>
  </sheetData>
  <sheetProtection password="C5B9" sheet="1" objects="1" scenarios="1"/>
  <mergeCells count="18">
    <mergeCell ref="J3:J4"/>
    <mergeCell ref="A5:A8"/>
    <mergeCell ref="B5:B6"/>
    <mergeCell ref="C5:C6"/>
    <mergeCell ref="I5:I6"/>
    <mergeCell ref="J5:J6"/>
    <mergeCell ref="B7:B8"/>
    <mergeCell ref="C7:C8"/>
    <mergeCell ref="I7:I8"/>
    <mergeCell ref="J7:J8"/>
    <mergeCell ref="B3:B4"/>
    <mergeCell ref="C3:C4"/>
    <mergeCell ref="F3:G3"/>
    <mergeCell ref="I3:I4"/>
    <mergeCell ref="D3:E3"/>
    <mergeCell ref="A17:A18"/>
    <mergeCell ref="A9:A16"/>
    <mergeCell ref="A21:A22"/>
  </mergeCells>
  <conditionalFormatting sqref="M10">
    <cfRule type="expression" dxfId="1" priority="2">
      <formula>"""ERROR"""</formula>
    </cfRule>
  </conditionalFormatting>
  <conditionalFormatting sqref="E9:E22">
    <cfRule type="expression" dxfId="0" priority="1">
      <formula>"ERROR"</formula>
    </cfRule>
  </conditionalFormatting>
  <dataValidations count="6">
    <dataValidation type="list" allowBlank="1" showInputMessage="1" showErrorMessage="1" sqref="B5:B22" xr:uid="{00000000-0002-0000-1F00-000000000000}">
      <formula1>Env_Type</formula1>
    </dataValidation>
    <dataValidation type="list" allowBlank="1" showInputMessage="1" showErrorMessage="1" sqref="D5 D7" xr:uid="{00000000-0002-0000-1F00-000001000000}">
      <formula1>Roof_Type</formula1>
    </dataValidation>
    <dataValidation type="list" allowBlank="1" showInputMessage="1" showErrorMessage="1" sqref="D9:D16" xr:uid="{00000000-0002-0000-1F00-000002000000}">
      <formula1>Wall_Type</formula1>
    </dataValidation>
    <dataValidation type="list" allowBlank="1" showInputMessage="1" showErrorMessage="1" sqref="D19" xr:uid="{00000000-0002-0000-1F00-000003000000}">
      <formula1>Floor</formula1>
    </dataValidation>
    <dataValidation type="list" allowBlank="1" showInputMessage="1" showErrorMessage="1" sqref="D20" xr:uid="{00000000-0002-0000-1F00-000004000000}">
      <formula1>Slab</formula1>
    </dataValidation>
    <dataValidation type="list" allowBlank="1" showInputMessage="1" showErrorMessage="1" sqref="D21:D22" xr:uid="{00000000-0002-0000-1F00-000005000000}">
      <formula1>Doors</formula1>
    </dataValidation>
  </dataValidations>
  <pageMargins left="0.7" right="0.7" top="0.75" bottom="0.75" header="0.3" footer="0.3"/>
  <pageSetup scale="96" orientation="landscape" r:id="rId1"/>
  <headerFooter>
    <oddHeader>&amp;L&amp;G&amp;C&amp;G</oddHeader>
    <oddFooter>&amp;RNovember 2016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6000000}">
          <x14:formula1>
            <xm:f>Lists!$A$34</xm:f>
          </x14:formula1>
          <xm:sqref>D17:D18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
    <tabColor rgb="FFFFC000"/>
  </sheetPr>
  <dimension ref="A2:J36"/>
  <sheetViews>
    <sheetView view="pageLayout" zoomScaleNormal="100" zoomScaleSheetLayoutView="115" workbookViewId="0">
      <selection activeCell="A5" sqref="A5"/>
    </sheetView>
  </sheetViews>
  <sheetFormatPr defaultRowHeight="15" x14ac:dyDescent="0.25"/>
  <cols>
    <col min="1" max="1" width="26.7109375" style="10" customWidth="1"/>
    <col min="2" max="2" width="14.140625" style="10" customWidth="1"/>
    <col min="3" max="4" width="6.42578125" style="10" customWidth="1"/>
    <col min="5" max="5" width="7" style="11" customWidth="1"/>
    <col min="6" max="7" width="6.42578125" style="10" customWidth="1"/>
    <col min="8" max="8" width="7" style="10" customWidth="1"/>
    <col min="9" max="10" width="11.5703125" style="10" customWidth="1"/>
  </cols>
  <sheetData>
    <row r="2" spans="1:10" ht="56.25" customHeight="1" x14ac:dyDescent="0.25">
      <c r="A2" s="390" t="s">
        <v>197</v>
      </c>
      <c r="B2" s="390" t="s">
        <v>271</v>
      </c>
      <c r="C2" s="390" t="s">
        <v>23</v>
      </c>
      <c r="D2" s="390"/>
      <c r="E2" s="390"/>
      <c r="F2" s="390" t="s">
        <v>24</v>
      </c>
      <c r="G2" s="390"/>
      <c r="H2" s="390"/>
      <c r="I2" s="390"/>
      <c r="J2" s="390"/>
    </row>
    <row r="3" spans="1:10" ht="22.5" x14ac:dyDescent="0.25">
      <c r="A3" s="390"/>
      <c r="B3" s="390"/>
      <c r="C3" s="390" t="s">
        <v>198</v>
      </c>
      <c r="D3" s="390" t="s">
        <v>199</v>
      </c>
      <c r="E3" s="43" t="s">
        <v>200</v>
      </c>
      <c r="F3" s="390" t="s">
        <v>198</v>
      </c>
      <c r="G3" s="390" t="s">
        <v>199</v>
      </c>
      <c r="H3" s="44" t="s">
        <v>200</v>
      </c>
      <c r="I3" s="390" t="s">
        <v>21</v>
      </c>
      <c r="J3" s="390" t="s">
        <v>123</v>
      </c>
    </row>
    <row r="4" spans="1:10" x14ac:dyDescent="0.25">
      <c r="A4" s="390"/>
      <c r="B4" s="390"/>
      <c r="C4" s="390"/>
      <c r="D4" s="390"/>
      <c r="E4" s="45" t="s">
        <v>201</v>
      </c>
      <c r="F4" s="390"/>
      <c r="G4" s="390"/>
      <c r="H4" s="46" t="s">
        <v>201</v>
      </c>
      <c r="I4" s="390"/>
      <c r="J4" s="390"/>
    </row>
    <row r="5" spans="1:10" x14ac:dyDescent="0.25">
      <c r="A5" s="136"/>
      <c r="B5" s="137"/>
      <c r="C5" s="136" t="s">
        <v>202</v>
      </c>
      <c r="D5" s="136" t="s">
        <v>202</v>
      </c>
      <c r="E5" s="80" t="str">
        <f>IF($A5="","",IF($B5="","",IF('4. Purchased Energy Rates'!$B$4="Section 11 ECB",VLOOKUP($A5,'Lighting Lookup'!$E$2:$G$106,2),VLOOKUP($A5,'Lighting Lookup'!$E$2:$G$106,3))))</f>
        <v/>
      </c>
      <c r="F5" s="136" t="s">
        <v>202</v>
      </c>
      <c r="G5" s="116" t="s">
        <v>202</v>
      </c>
      <c r="H5" s="138"/>
      <c r="I5" s="134"/>
      <c r="J5" s="134" t="s">
        <v>696</v>
      </c>
    </row>
    <row r="6" spans="1:10" x14ac:dyDescent="0.25">
      <c r="A6" s="136"/>
      <c r="B6" s="137"/>
      <c r="C6" s="136" t="s">
        <v>202</v>
      </c>
      <c r="D6" s="136" t="s">
        <v>202</v>
      </c>
      <c r="E6" s="80" t="str">
        <f>IF($A6="","",IF($B6="","",IF('4. Purchased Energy Rates'!$B$4="Section 11 ECB",VLOOKUP($A6,'Lighting Lookup'!$E$2:$G$106,2),VLOOKUP($A6,'Lighting Lookup'!$E$2:$G$106,3))))</f>
        <v/>
      </c>
      <c r="F6" s="136" t="s">
        <v>202</v>
      </c>
      <c r="G6" s="116" t="s">
        <v>202</v>
      </c>
      <c r="H6" s="138"/>
      <c r="I6" s="134"/>
      <c r="J6" s="134"/>
    </row>
    <row r="7" spans="1:10" x14ac:dyDescent="0.25">
      <c r="A7" s="136"/>
      <c r="B7" s="137"/>
      <c r="C7" s="136" t="s">
        <v>202</v>
      </c>
      <c r="D7" s="136" t="s">
        <v>202</v>
      </c>
      <c r="E7" s="80" t="str">
        <f>IF($A7="","",IF($B7="","",IF('4. Purchased Energy Rates'!$B$4="Section 11 ECB",VLOOKUP($A7,'Lighting Lookup'!$E$2:$G$106,2),VLOOKUP($A7,'Lighting Lookup'!$E$2:$G$106,3))))</f>
        <v/>
      </c>
      <c r="F7" s="136" t="s">
        <v>202</v>
      </c>
      <c r="G7" s="116" t="s">
        <v>202</v>
      </c>
      <c r="H7" s="138"/>
      <c r="I7" s="134"/>
      <c r="J7" s="134"/>
    </row>
    <row r="8" spans="1:10" x14ac:dyDescent="0.25">
      <c r="A8" s="136"/>
      <c r="B8" s="137"/>
      <c r="C8" s="136" t="s">
        <v>202</v>
      </c>
      <c r="D8" s="136" t="s">
        <v>203</v>
      </c>
      <c r="E8" s="80" t="str">
        <f>IF($A8="","",IF($B8="","",IF('4. Purchased Energy Rates'!$B$4="Section 11 ECB",VLOOKUP($A8,'Lighting Lookup'!$E$2:$G$106,2),VLOOKUP($A8,'Lighting Lookup'!$E$2:$G$106,3))))</f>
        <v/>
      </c>
      <c r="F8" s="136" t="s">
        <v>202</v>
      </c>
      <c r="G8" s="116" t="s">
        <v>203</v>
      </c>
      <c r="H8" s="138"/>
      <c r="I8" s="134"/>
      <c r="J8" s="134"/>
    </row>
    <row r="9" spans="1:10" x14ac:dyDescent="0.25">
      <c r="A9" s="136"/>
      <c r="B9" s="137"/>
      <c r="C9" s="136" t="s">
        <v>202</v>
      </c>
      <c r="D9" s="136" t="s">
        <v>203</v>
      </c>
      <c r="E9" s="80" t="str">
        <f>IF($A9="","",IF($B9="","",IF('4. Purchased Energy Rates'!$B$4="Section 11 ECB",VLOOKUP($A9,'Lighting Lookup'!$E$2:$G$106,2),VLOOKUP($A9,'Lighting Lookup'!$E$2:$G$106,3))))</f>
        <v/>
      </c>
      <c r="F9" s="136" t="s">
        <v>203</v>
      </c>
      <c r="G9" s="116" t="s">
        <v>203</v>
      </c>
      <c r="H9" s="138"/>
      <c r="I9" s="134"/>
      <c r="J9" s="134"/>
    </row>
    <row r="10" spans="1:10" x14ac:dyDescent="0.25">
      <c r="A10" s="136"/>
      <c r="B10" s="137"/>
      <c r="C10" s="136" t="s">
        <v>202</v>
      </c>
      <c r="D10" s="136" t="s">
        <v>203</v>
      </c>
      <c r="E10" s="80" t="str">
        <f>IF($A10="","",IF($B10="","",IF('4. Purchased Energy Rates'!$B$4="Section 11 ECB",VLOOKUP($A10,'Lighting Lookup'!$E$2:$G$106,2),VLOOKUP($A10,'Lighting Lookup'!$E$2:$G$106,3))))</f>
        <v/>
      </c>
      <c r="F10" s="136" t="s">
        <v>203</v>
      </c>
      <c r="G10" s="116" t="s">
        <v>203</v>
      </c>
      <c r="H10" s="138"/>
      <c r="I10" s="134"/>
      <c r="J10" s="134"/>
    </row>
    <row r="11" spans="1:10" x14ac:dyDescent="0.25">
      <c r="A11" s="136"/>
      <c r="B11" s="137"/>
      <c r="C11" s="136" t="s">
        <v>202</v>
      </c>
      <c r="D11" s="136" t="s">
        <v>203</v>
      </c>
      <c r="E11" s="80" t="str">
        <f>IF($A11="","",IF($B11="","",IF('4. Purchased Energy Rates'!$B$4="Section 11 ECB",VLOOKUP($A11,'Lighting Lookup'!$E$2:$G$106,2),VLOOKUP($A11,'Lighting Lookup'!$E$2:$G$106,3))))</f>
        <v/>
      </c>
      <c r="F11" s="136" t="s">
        <v>202</v>
      </c>
      <c r="G11" s="116" t="s">
        <v>203</v>
      </c>
      <c r="H11" s="138"/>
      <c r="I11" s="134"/>
      <c r="J11" s="134"/>
    </row>
    <row r="12" spans="1:10" x14ac:dyDescent="0.25">
      <c r="A12" s="136"/>
      <c r="B12" s="137"/>
      <c r="C12" s="136" t="s">
        <v>202</v>
      </c>
      <c r="D12" s="136" t="s">
        <v>203</v>
      </c>
      <c r="E12" s="80" t="str">
        <f>IF($A12="","",IF($B12="","",IF('4. Purchased Energy Rates'!$B$4="Section 11 ECB",VLOOKUP($A12,'Lighting Lookup'!$E$2:$G$106,2),VLOOKUP($A12,'Lighting Lookup'!$E$2:$G$106,3))))</f>
        <v/>
      </c>
      <c r="F12" s="136" t="s">
        <v>202</v>
      </c>
      <c r="G12" s="116" t="s">
        <v>203</v>
      </c>
      <c r="H12" s="138"/>
      <c r="I12" s="134"/>
      <c r="J12" s="134"/>
    </row>
    <row r="13" spans="1:10" x14ac:dyDescent="0.25">
      <c r="A13" s="136"/>
      <c r="B13" s="137"/>
      <c r="C13" s="136" t="s">
        <v>202</v>
      </c>
      <c r="D13" s="136" t="s">
        <v>202</v>
      </c>
      <c r="E13" s="80" t="str">
        <f>IF($A13="","",IF($B13="","",IF('4. Purchased Energy Rates'!$B$4="Section 11 ECB",VLOOKUP($A13,'Lighting Lookup'!$E$2:$G$106,2),VLOOKUP($A13,'Lighting Lookup'!$E$2:$G$106,3))))</f>
        <v/>
      </c>
      <c r="F13" s="136" t="s">
        <v>202</v>
      </c>
      <c r="G13" s="116" t="s">
        <v>202</v>
      </c>
      <c r="H13" s="138"/>
      <c r="I13" s="134"/>
      <c r="J13" s="134"/>
    </row>
    <row r="14" spans="1:10" x14ac:dyDescent="0.25">
      <c r="A14" s="136"/>
      <c r="B14" s="137"/>
      <c r="C14" s="136" t="s">
        <v>202</v>
      </c>
      <c r="D14" s="136" t="s">
        <v>203</v>
      </c>
      <c r="E14" s="80" t="str">
        <f>IF($A14="","",IF($B14="","",IF('4. Purchased Energy Rates'!$B$4="Section 11 ECB",VLOOKUP($A14,'Lighting Lookup'!$E$2:$G$106,2),VLOOKUP($A14,'Lighting Lookup'!$E$2:$G$106,3))))</f>
        <v/>
      </c>
      <c r="F14" s="136" t="s">
        <v>202</v>
      </c>
      <c r="G14" s="116" t="s">
        <v>203</v>
      </c>
      <c r="H14" s="138"/>
      <c r="I14" s="134"/>
      <c r="J14" s="134"/>
    </row>
    <row r="15" spans="1:10" x14ac:dyDescent="0.25">
      <c r="A15" s="136"/>
      <c r="B15" s="137"/>
      <c r="C15" s="136" t="s">
        <v>202</v>
      </c>
      <c r="D15" s="136" t="s">
        <v>203</v>
      </c>
      <c r="E15" s="80" t="str">
        <f>IF($A15="","",IF($B15="","",IF('4. Purchased Energy Rates'!$B$4="Section 11 ECB",VLOOKUP($A15,'Lighting Lookup'!$E$2:$G$106,2),VLOOKUP($A15,'Lighting Lookup'!$E$2:$G$106,3))))</f>
        <v/>
      </c>
      <c r="F15" s="136" t="s">
        <v>202</v>
      </c>
      <c r="G15" s="116" t="s">
        <v>203</v>
      </c>
      <c r="H15" s="138"/>
      <c r="I15" s="134"/>
      <c r="J15" s="134"/>
    </row>
    <row r="16" spans="1:10" x14ac:dyDescent="0.25">
      <c r="A16" s="136"/>
      <c r="B16" s="137"/>
      <c r="C16" s="136" t="s">
        <v>203</v>
      </c>
      <c r="D16" s="136" t="s">
        <v>203</v>
      </c>
      <c r="E16" s="80" t="str">
        <f>IF($A16="","",IF($B16="","",IF('4. Purchased Energy Rates'!$B$4="Section 11 ECB",VLOOKUP($A16,'Lighting Lookup'!$E$2:$G$106,2),VLOOKUP($A16,'Lighting Lookup'!$E$2:$G$106,3))))</f>
        <v/>
      </c>
      <c r="F16" s="136" t="s">
        <v>203</v>
      </c>
      <c r="G16" s="116" t="s">
        <v>203</v>
      </c>
      <c r="H16" s="138"/>
      <c r="I16" s="134"/>
      <c r="J16" s="134"/>
    </row>
    <row r="17" spans="1:10" x14ac:dyDescent="0.25">
      <c r="A17" s="136"/>
      <c r="B17" s="137"/>
      <c r="C17" s="136" t="s">
        <v>202</v>
      </c>
      <c r="D17" s="136" t="s">
        <v>202</v>
      </c>
      <c r="E17" s="80" t="str">
        <f>IF($A17="","",IF($B17="","",IF('4. Purchased Energy Rates'!$B$4="Section 11 ECB",VLOOKUP($A17,'Lighting Lookup'!$E$2:$G$106,2),VLOOKUP($A17,'Lighting Lookup'!$E$2:$G$106,3))))</f>
        <v/>
      </c>
      <c r="F17" s="136" t="s">
        <v>202</v>
      </c>
      <c r="G17" s="116" t="s">
        <v>202</v>
      </c>
      <c r="H17" s="138"/>
      <c r="I17" s="134"/>
      <c r="J17" s="134"/>
    </row>
    <row r="18" spans="1:10" x14ac:dyDescent="0.25">
      <c r="A18" s="136"/>
      <c r="B18" s="137"/>
      <c r="C18" s="136" t="s">
        <v>203</v>
      </c>
      <c r="D18" s="116" t="s">
        <v>203</v>
      </c>
      <c r="E18" s="80" t="str">
        <f>IF($A18="","",IF($B18="","",IF('4. Purchased Energy Rates'!$B$4="Section 11 ECB",VLOOKUP($A18,'Lighting Lookup'!$E$2:$G$106,2),VLOOKUP($A18,'Lighting Lookup'!$E$2:$G$106,3))))</f>
        <v/>
      </c>
      <c r="F18" s="136" t="s">
        <v>203</v>
      </c>
      <c r="G18" s="116" t="s">
        <v>203</v>
      </c>
      <c r="H18" s="138"/>
      <c r="I18" s="134"/>
      <c r="J18" s="134"/>
    </row>
    <row r="19" spans="1:10" x14ac:dyDescent="0.25">
      <c r="A19" s="136"/>
      <c r="B19" s="137"/>
      <c r="C19" s="136" t="s">
        <v>203</v>
      </c>
      <c r="D19" s="136" t="s">
        <v>202</v>
      </c>
      <c r="E19" s="80" t="str">
        <f>IF($A19="","",IF($B19="","",IF('4. Purchased Energy Rates'!$B$4="Section 11 ECB",VLOOKUP($A19,'Lighting Lookup'!$E$2:$G$106,2),VLOOKUP($A19,'Lighting Lookup'!$E$2:$G$106,3))))</f>
        <v/>
      </c>
      <c r="F19" s="136" t="s">
        <v>203</v>
      </c>
      <c r="G19" s="116" t="s">
        <v>202</v>
      </c>
      <c r="H19" s="138"/>
      <c r="I19" s="134"/>
      <c r="J19" s="134"/>
    </row>
    <row r="20" spans="1:10" x14ac:dyDescent="0.25">
      <c r="A20" s="136"/>
      <c r="B20" s="137"/>
      <c r="C20" s="136"/>
      <c r="D20" s="136"/>
      <c r="E20" s="80" t="str">
        <f>IF($A20="","",IF($B20="","",IF('4. Purchased Energy Rates'!$B$4="Section 11 ECB",VLOOKUP($A20,'Lighting Lookup'!$E$2:$G$106,2),VLOOKUP($A20,'Lighting Lookup'!$E$2:$G$106,3))))</f>
        <v/>
      </c>
      <c r="F20" s="136"/>
      <c r="G20" s="116"/>
      <c r="H20" s="138"/>
      <c r="I20" s="134"/>
      <c r="J20" s="134"/>
    </row>
    <row r="21" spans="1:10" x14ac:dyDescent="0.25">
      <c r="A21" s="136"/>
      <c r="B21" s="137"/>
      <c r="C21" s="136"/>
      <c r="D21" s="136"/>
      <c r="E21" s="80" t="str">
        <f>IF($A21="","",IF($B21="","",IF('4. Purchased Energy Rates'!$B$4="Section 11 ECB",VLOOKUP($A21,'Lighting Lookup'!$E$2:$G$106,2),VLOOKUP($A21,'Lighting Lookup'!$E$2:$G$106,3))))</f>
        <v/>
      </c>
      <c r="F21" s="136"/>
      <c r="G21" s="116"/>
      <c r="H21" s="138"/>
      <c r="I21" s="134"/>
      <c r="J21" s="134"/>
    </row>
    <row r="22" spans="1:10" x14ac:dyDescent="0.25">
      <c r="A22" s="136"/>
      <c r="B22" s="137"/>
      <c r="C22" s="136"/>
      <c r="D22" s="136"/>
      <c r="E22" s="80" t="str">
        <f>IF($A22="","",IF($B22="","",IF('4. Purchased Energy Rates'!$B$4="Section 11 ECB",VLOOKUP($A22,'Lighting Lookup'!$E$2:$G$106,2),VLOOKUP($A22,'Lighting Lookup'!$E$2:$G$106,3))))</f>
        <v/>
      </c>
      <c r="F22" s="136"/>
      <c r="G22" s="116"/>
      <c r="H22" s="138"/>
      <c r="I22" s="134"/>
      <c r="J22" s="134"/>
    </row>
    <row r="23" spans="1:10" x14ac:dyDescent="0.25">
      <c r="A23" s="136"/>
      <c r="B23" s="137"/>
      <c r="C23" s="136"/>
      <c r="D23" s="136"/>
      <c r="E23" s="80" t="str">
        <f>IF($A23="","",IF($B23="","",IF('4. Purchased Energy Rates'!$B$4="Section 11 ECB",VLOOKUP($A23,'Lighting Lookup'!$E$2:$G$106,2),VLOOKUP($A23,'Lighting Lookup'!$E$2:$G$106,3))))</f>
        <v/>
      </c>
      <c r="F23" s="136"/>
      <c r="G23" s="116"/>
      <c r="H23" s="138"/>
      <c r="I23" s="134"/>
      <c r="J23" s="134"/>
    </row>
    <row r="24" spans="1:10" x14ac:dyDescent="0.25">
      <c r="A24" s="136"/>
      <c r="B24" s="137"/>
      <c r="C24" s="136"/>
      <c r="D24" s="136"/>
      <c r="E24" s="80" t="str">
        <f>IF($A24="","",IF($B24="","",IF('4. Purchased Energy Rates'!$B$4="Section 11 ECB",VLOOKUP($A24,'Lighting Lookup'!$E$2:$G$106,2),VLOOKUP($A24,'Lighting Lookup'!$E$2:$G$106,3))))</f>
        <v/>
      </c>
      <c r="F24" s="136"/>
      <c r="G24" s="116"/>
      <c r="H24" s="138"/>
      <c r="I24" s="134"/>
      <c r="J24" s="134"/>
    </row>
    <row r="25" spans="1:10" x14ac:dyDescent="0.25">
      <c r="A25" s="136"/>
      <c r="B25" s="137"/>
      <c r="C25" s="136"/>
      <c r="D25" s="136"/>
      <c r="E25" s="80" t="str">
        <f>IF($A25="","",IF($B25="","",IF('4. Purchased Energy Rates'!$B$4="Section 11 ECB",VLOOKUP($A25,'Lighting Lookup'!$E$2:$G$106,2),VLOOKUP($A25,'Lighting Lookup'!$E$2:$G$106,3))))</f>
        <v/>
      </c>
      <c r="F25" s="136"/>
      <c r="G25" s="116"/>
      <c r="H25" s="138"/>
      <c r="I25" s="134"/>
      <c r="J25" s="134"/>
    </row>
    <row r="26" spans="1:10" x14ac:dyDescent="0.25">
      <c r="A26" s="136"/>
      <c r="B26" s="137"/>
      <c r="C26" s="136"/>
      <c r="D26" s="136"/>
      <c r="E26" s="80" t="str">
        <f>IF($A26="","",IF($B26="","",IF('4. Purchased Energy Rates'!$B$4="Section 11 ECB",VLOOKUP($A26,'Lighting Lookup'!$E$2:$G$106,2),VLOOKUP($A26,'Lighting Lookup'!$E$2:$G$106,3))))</f>
        <v/>
      </c>
      <c r="F26" s="136"/>
      <c r="G26" s="116"/>
      <c r="H26" s="138"/>
      <c r="I26" s="134"/>
      <c r="J26" s="134"/>
    </row>
    <row r="27" spans="1:10" x14ac:dyDescent="0.25">
      <c r="A27" s="136"/>
      <c r="B27" s="137"/>
      <c r="C27" s="136"/>
      <c r="D27" s="136"/>
      <c r="E27" s="80" t="str">
        <f>IF($A27="","",IF($B27="","",IF('4. Purchased Energy Rates'!$B$4="Section 11 ECB",VLOOKUP($A27,'Lighting Lookup'!$E$2:$G$106,2),VLOOKUP($A27,'Lighting Lookup'!$E$2:$G$106,3))))</f>
        <v/>
      </c>
      <c r="F27" s="136"/>
      <c r="G27" s="116"/>
      <c r="H27" s="138"/>
      <c r="I27" s="134"/>
      <c r="J27" s="134"/>
    </row>
    <row r="28" spans="1:10" x14ac:dyDescent="0.25">
      <c r="A28" s="136"/>
      <c r="B28" s="137"/>
      <c r="C28" s="136"/>
      <c r="D28" s="136"/>
      <c r="E28" s="80" t="str">
        <f>IF($A28="","",IF($B28="","",IF('4. Purchased Energy Rates'!$B$4="Section 11 ECB",VLOOKUP($A28,'Lighting Lookup'!$E$2:$G$106,2),VLOOKUP($A28,'Lighting Lookup'!$E$2:$G$106,3))))</f>
        <v/>
      </c>
      <c r="F28" s="136"/>
      <c r="G28" s="116"/>
      <c r="H28" s="138"/>
      <c r="I28" s="134"/>
      <c r="J28" s="134"/>
    </row>
    <row r="29" spans="1:10" x14ac:dyDescent="0.25">
      <c r="A29" s="47" t="s">
        <v>54</v>
      </c>
      <c r="B29" s="82" t="str">
        <f>IF(B5="","",SUM(B5:B28))</f>
        <v/>
      </c>
      <c r="C29" s="48"/>
      <c r="D29" s="48"/>
      <c r="E29" s="81" t="str">
        <f>IF(B29="","",SUMPRODUCT(B5:B28,E5:E28)/B29)</f>
        <v/>
      </c>
      <c r="F29" s="48"/>
      <c r="G29" s="47"/>
      <c r="H29" s="81" t="str">
        <f>IF(H5="","",SUMPRODUCT(B5:B28,H5:H28)/B29)</f>
        <v/>
      </c>
      <c r="I29" s="139"/>
      <c r="J29" s="139"/>
    </row>
    <row r="36" spans="3:3" x14ac:dyDescent="0.25">
      <c r="C36" s="140"/>
    </row>
  </sheetData>
  <sheetProtection password="C5B9" sheet="1" objects="1" scenarios="1"/>
  <mergeCells count="10">
    <mergeCell ref="F2:J2"/>
    <mergeCell ref="C2:E2"/>
    <mergeCell ref="I3:I4"/>
    <mergeCell ref="J3:J4"/>
    <mergeCell ref="A2:A4"/>
    <mergeCell ref="B2:B4"/>
    <mergeCell ref="C3:C4"/>
    <mergeCell ref="D3:D4"/>
    <mergeCell ref="F3:F4"/>
    <mergeCell ref="G3:G4"/>
  </mergeCells>
  <dataValidations count="2">
    <dataValidation type="list" allowBlank="1" showInputMessage="1" showErrorMessage="1" sqref="C5:D28 F5:G28" xr:uid="{00000000-0002-0000-2000-000000000000}">
      <formula1>Yes_No</formula1>
    </dataValidation>
    <dataValidation type="list" allowBlank="1" showInputMessage="1" showErrorMessage="1" sqref="A5:A28" xr:uid="{00000000-0002-0000-2000-000001000000}">
      <formula1>Ltg_Space</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
    <tabColor rgb="FFFFC000"/>
  </sheetPr>
  <dimension ref="A2:J29"/>
  <sheetViews>
    <sheetView zoomScaleNormal="100" zoomScaleSheetLayoutView="115" workbookViewId="0">
      <selection activeCell="Q29" sqref="Q29"/>
    </sheetView>
  </sheetViews>
  <sheetFormatPr defaultRowHeight="15" x14ac:dyDescent="0.25"/>
  <cols>
    <col min="1" max="1" width="26.7109375" style="10" customWidth="1"/>
    <col min="2" max="2" width="14.140625" style="10" customWidth="1"/>
    <col min="3" max="4" width="6.42578125" style="10" customWidth="1"/>
    <col min="5" max="5" width="7" style="11" customWidth="1"/>
    <col min="6" max="7" width="6.42578125" style="10" customWidth="1"/>
    <col min="8" max="8" width="7" style="10" customWidth="1"/>
    <col min="9" max="10" width="11.5703125" style="10" customWidth="1"/>
  </cols>
  <sheetData>
    <row r="2" spans="1:10" ht="56.25" customHeight="1" x14ac:dyDescent="0.25">
      <c r="A2" s="390" t="s">
        <v>197</v>
      </c>
      <c r="B2" s="390" t="s">
        <v>271</v>
      </c>
      <c r="C2" s="390" t="s">
        <v>23</v>
      </c>
      <c r="D2" s="390"/>
      <c r="E2" s="390"/>
      <c r="F2" s="390" t="s">
        <v>24</v>
      </c>
      <c r="G2" s="390"/>
      <c r="H2" s="390"/>
      <c r="I2" s="390"/>
      <c r="J2" s="390"/>
    </row>
    <row r="3" spans="1:10" ht="22.5" x14ac:dyDescent="0.25">
      <c r="A3" s="390"/>
      <c r="B3" s="390"/>
      <c r="C3" s="390" t="s">
        <v>198</v>
      </c>
      <c r="D3" s="390" t="s">
        <v>199</v>
      </c>
      <c r="E3" s="43" t="s">
        <v>200</v>
      </c>
      <c r="F3" s="390" t="s">
        <v>198</v>
      </c>
      <c r="G3" s="390" t="s">
        <v>199</v>
      </c>
      <c r="H3" s="44" t="s">
        <v>200</v>
      </c>
      <c r="I3" s="390" t="s">
        <v>21</v>
      </c>
      <c r="J3" s="390" t="s">
        <v>123</v>
      </c>
    </row>
    <row r="4" spans="1:10" x14ac:dyDescent="0.25">
      <c r="A4" s="390"/>
      <c r="B4" s="390"/>
      <c r="C4" s="390"/>
      <c r="D4" s="390"/>
      <c r="E4" s="45" t="s">
        <v>201</v>
      </c>
      <c r="F4" s="390"/>
      <c r="G4" s="390"/>
      <c r="H4" s="46" t="s">
        <v>201</v>
      </c>
      <c r="I4" s="390"/>
      <c r="J4" s="390"/>
    </row>
    <row r="5" spans="1:10" x14ac:dyDescent="0.25">
      <c r="A5" s="136" t="s">
        <v>231</v>
      </c>
      <c r="B5" s="137"/>
      <c r="C5" s="136"/>
      <c r="D5" s="136"/>
      <c r="E5" s="80" t="str">
        <f>IF($A5="","",IF($B5="","",IF('4. Purchased Energy Rates'!$B$4="Section 11 ECB",VLOOKUP($A5,'Lighting Lookup'!$A$2:$C$33,2),VLOOKUP($A5,'Lighting Lookup'!$A$2:$C$33,3))))</f>
        <v/>
      </c>
      <c r="F5" s="136"/>
      <c r="G5" s="116"/>
      <c r="H5" s="138"/>
      <c r="I5" s="134"/>
      <c r="J5" s="134"/>
    </row>
    <row r="6" spans="1:10" x14ac:dyDescent="0.25">
      <c r="A6" s="136"/>
      <c r="B6" s="137"/>
      <c r="C6" s="136"/>
      <c r="D6" s="136"/>
      <c r="E6" s="80" t="str">
        <f>IF($A6="","",IF($B6="","",IF('4. Purchased Energy Rates'!$B$4="Section 11 ECB",VLOOKUP($A6,'Lighting Lookup'!$A$2:$C$33,2),VLOOKUP($A6,'Lighting Lookup'!$A$2:$C$33,3))))</f>
        <v/>
      </c>
      <c r="F6" s="136"/>
      <c r="G6" s="116"/>
      <c r="H6" s="138"/>
      <c r="I6" s="134"/>
      <c r="J6" s="134"/>
    </row>
    <row r="7" spans="1:10" x14ac:dyDescent="0.25">
      <c r="A7" s="136"/>
      <c r="B7" s="137"/>
      <c r="C7" s="136"/>
      <c r="D7" s="136"/>
      <c r="E7" s="80" t="str">
        <f>IF($A7="","",IF($B7="","",IF('4. Purchased Energy Rates'!$B$4="Section 11 ECB",VLOOKUP($A7,'Lighting Lookup'!$A$2:$C$33,2),VLOOKUP($A7,'Lighting Lookup'!$A$2:$C$33,3))))</f>
        <v/>
      </c>
      <c r="F7" s="136"/>
      <c r="G7" s="116"/>
      <c r="H7" s="138"/>
      <c r="I7" s="134"/>
      <c r="J7" s="134"/>
    </row>
    <row r="8" spans="1:10" x14ac:dyDescent="0.25">
      <c r="A8" s="136"/>
      <c r="B8" s="137"/>
      <c r="C8" s="136"/>
      <c r="D8" s="136"/>
      <c r="E8" s="80" t="str">
        <f>IF($A8="","",IF($B8="","",IF('4. Purchased Energy Rates'!$B$4="Section 11 ECB",VLOOKUP($A8,'Lighting Lookup'!$A$2:$C$33,2),VLOOKUP($A8,'Lighting Lookup'!$A$2:$C$33,3))))</f>
        <v/>
      </c>
      <c r="F8" s="136"/>
      <c r="G8" s="116"/>
      <c r="H8" s="138"/>
      <c r="I8" s="134"/>
      <c r="J8" s="134"/>
    </row>
    <row r="9" spans="1:10" x14ac:dyDescent="0.25">
      <c r="A9" s="136"/>
      <c r="B9" s="137"/>
      <c r="C9" s="136"/>
      <c r="D9" s="136"/>
      <c r="E9" s="80" t="str">
        <f>IF($A9="","",IF($B9="","",IF('4. Purchased Energy Rates'!$B$4="Section 11 ECB",VLOOKUP($A9,'Lighting Lookup'!$A$2:$C$33,2),VLOOKUP($A9,'Lighting Lookup'!$A$2:$C$33,3))))</f>
        <v/>
      </c>
      <c r="F9" s="136"/>
      <c r="G9" s="116"/>
      <c r="H9" s="138"/>
      <c r="I9" s="134"/>
      <c r="J9" s="134"/>
    </row>
    <row r="10" spans="1:10" x14ac:dyDescent="0.25">
      <c r="A10" s="136"/>
      <c r="B10" s="137"/>
      <c r="C10" s="136"/>
      <c r="D10" s="136"/>
      <c r="E10" s="80" t="str">
        <f>IF($A10="","",IF($B10="","",IF('4. Purchased Energy Rates'!$B$4="Section 11 ECB",VLOOKUP($A10,'Lighting Lookup'!$A$2:$C$33,2),VLOOKUP($A10,'Lighting Lookup'!$A$2:$C$33,3))))</f>
        <v/>
      </c>
      <c r="F10" s="136"/>
      <c r="G10" s="116"/>
      <c r="H10" s="138"/>
      <c r="I10" s="134"/>
      <c r="J10" s="134"/>
    </row>
    <row r="11" spans="1:10" x14ac:dyDescent="0.25">
      <c r="A11" s="136"/>
      <c r="B11" s="137"/>
      <c r="C11" s="136"/>
      <c r="D11" s="136"/>
      <c r="E11" s="80" t="str">
        <f>IF($A11="","",IF($B11="","",IF('4. Purchased Energy Rates'!$B$4="Section 11 ECB",VLOOKUP($A11,'Lighting Lookup'!$A$2:$C$33,2),VLOOKUP($A11,'Lighting Lookup'!$A$2:$C$33,3))))</f>
        <v/>
      </c>
      <c r="F11" s="136"/>
      <c r="G11" s="116"/>
      <c r="H11" s="138"/>
      <c r="I11" s="134"/>
      <c r="J11" s="134"/>
    </row>
    <row r="12" spans="1:10" x14ac:dyDescent="0.25">
      <c r="A12" s="136"/>
      <c r="B12" s="137"/>
      <c r="C12" s="136"/>
      <c r="D12" s="136"/>
      <c r="E12" s="80" t="str">
        <f>IF($A12="","",IF($B12="","",IF('4. Purchased Energy Rates'!$B$4="Section 11 ECB",VLOOKUP($A12,'Lighting Lookup'!$A$2:$C$33,2),VLOOKUP($A12,'Lighting Lookup'!$A$2:$C$33,3))))</f>
        <v/>
      </c>
      <c r="F12" s="136"/>
      <c r="G12" s="116"/>
      <c r="H12" s="138"/>
      <c r="I12" s="134"/>
      <c r="J12" s="134"/>
    </row>
    <row r="13" spans="1:10" x14ac:dyDescent="0.25">
      <c r="A13" s="136"/>
      <c r="B13" s="137"/>
      <c r="C13" s="136"/>
      <c r="D13" s="136"/>
      <c r="E13" s="80" t="str">
        <f>IF($A13="","",IF($B13="","",IF('4. Purchased Energy Rates'!$B$4="Section 11 ECB",VLOOKUP($A13,'Lighting Lookup'!$A$2:$C$33,2),VLOOKUP($A13,'Lighting Lookup'!$A$2:$C$33,3))))</f>
        <v/>
      </c>
      <c r="F13" s="136"/>
      <c r="G13" s="116"/>
      <c r="H13" s="138"/>
      <c r="I13" s="134"/>
      <c r="J13" s="134"/>
    </row>
    <row r="14" spans="1:10" x14ac:dyDescent="0.25">
      <c r="A14" s="136"/>
      <c r="B14" s="137"/>
      <c r="C14" s="136"/>
      <c r="D14" s="136"/>
      <c r="E14" s="80" t="str">
        <f>IF($A14="","",IF($B14="","",IF('4. Purchased Energy Rates'!$B$4="Section 11 ECB",VLOOKUP($A14,'Lighting Lookup'!$A$2:$C$33,2),VLOOKUP($A14,'Lighting Lookup'!$A$2:$C$33,3))))</f>
        <v/>
      </c>
      <c r="F14" s="136"/>
      <c r="G14" s="116"/>
      <c r="H14" s="138"/>
      <c r="I14" s="134"/>
      <c r="J14" s="134"/>
    </row>
    <row r="15" spans="1:10" x14ac:dyDescent="0.25">
      <c r="A15" s="136"/>
      <c r="B15" s="137"/>
      <c r="C15" s="136"/>
      <c r="D15" s="136"/>
      <c r="E15" s="80" t="str">
        <f>IF($A15="","",IF($B15="","",IF('4. Purchased Energy Rates'!$B$4="Section 11 ECB",VLOOKUP($A15,'Lighting Lookup'!$A$2:$C$33,2),VLOOKUP($A15,'Lighting Lookup'!$A$2:$C$33,3))))</f>
        <v/>
      </c>
      <c r="F15" s="136"/>
      <c r="G15" s="116"/>
      <c r="H15" s="138"/>
      <c r="I15" s="134"/>
      <c r="J15" s="134"/>
    </row>
    <row r="16" spans="1:10" x14ac:dyDescent="0.25">
      <c r="A16" s="136"/>
      <c r="B16" s="137"/>
      <c r="C16" s="136"/>
      <c r="D16" s="136"/>
      <c r="E16" s="80" t="str">
        <f>IF($A16="","",IF($B16="","",IF('4. Purchased Energy Rates'!$B$4="Section 11 ECB",VLOOKUP($A16,'Lighting Lookup'!$A$2:$C$33,2),VLOOKUP($A16,'Lighting Lookup'!$A$2:$C$33,3))))</f>
        <v/>
      </c>
      <c r="F16" s="136"/>
      <c r="G16" s="116"/>
      <c r="H16" s="138"/>
      <c r="I16" s="134"/>
      <c r="J16" s="134"/>
    </row>
    <row r="17" spans="1:10" x14ac:dyDescent="0.25">
      <c r="A17" s="136"/>
      <c r="B17" s="137"/>
      <c r="C17" s="136"/>
      <c r="D17" s="136"/>
      <c r="E17" s="80" t="str">
        <f>IF($A17="","",IF($B17="","",IF('4. Purchased Energy Rates'!$B$4="Section 11 ECB",VLOOKUP($A17,'Lighting Lookup'!$A$2:$C$33,2),VLOOKUP($A17,'Lighting Lookup'!$A$2:$C$33,3))))</f>
        <v/>
      </c>
      <c r="F17" s="136"/>
      <c r="G17" s="116"/>
      <c r="H17" s="138"/>
      <c r="I17" s="134"/>
      <c r="J17" s="134"/>
    </row>
    <row r="18" spans="1:10" x14ac:dyDescent="0.25">
      <c r="A18" s="136"/>
      <c r="B18" s="137"/>
      <c r="C18" s="136"/>
      <c r="D18" s="136"/>
      <c r="E18" s="80" t="str">
        <f>IF($A18="","",IF($B18="","",IF('4. Purchased Energy Rates'!$B$4="Section 11 ECB",VLOOKUP($A18,'Lighting Lookup'!$A$2:$C$33,2),VLOOKUP($A18,'Lighting Lookup'!$A$2:$C$33,3))))</f>
        <v/>
      </c>
      <c r="F18" s="136"/>
      <c r="G18" s="116"/>
      <c r="H18" s="138"/>
      <c r="I18" s="134"/>
      <c r="J18" s="134"/>
    </row>
    <row r="19" spans="1:10" x14ac:dyDescent="0.25">
      <c r="A19" s="136"/>
      <c r="B19" s="137"/>
      <c r="C19" s="136"/>
      <c r="D19" s="136"/>
      <c r="E19" s="80" t="str">
        <f>IF($A19="","",IF($B19="","",IF('4. Purchased Energy Rates'!$B$4="Section 11 ECB",VLOOKUP($A19,'Lighting Lookup'!$A$2:$C$33,2),VLOOKUP($A19,'Lighting Lookup'!$A$2:$C$33,3))))</f>
        <v/>
      </c>
      <c r="F19" s="136"/>
      <c r="G19" s="116"/>
      <c r="H19" s="138"/>
      <c r="I19" s="134"/>
      <c r="J19" s="134"/>
    </row>
    <row r="20" spans="1:10" x14ac:dyDescent="0.25">
      <c r="A20" s="136"/>
      <c r="B20" s="137"/>
      <c r="C20" s="136"/>
      <c r="D20" s="136"/>
      <c r="E20" s="80" t="str">
        <f>IF($A20="","",IF($B20="","",IF('4. Purchased Energy Rates'!$B$4="Section 11 ECB",VLOOKUP($A20,'Lighting Lookup'!$A$2:$C$33,2),VLOOKUP($A20,'Lighting Lookup'!$A$2:$C$33,3))))</f>
        <v/>
      </c>
      <c r="F20" s="136"/>
      <c r="G20" s="116"/>
      <c r="H20" s="138"/>
      <c r="I20" s="134"/>
      <c r="J20" s="134"/>
    </row>
    <row r="21" spans="1:10" x14ac:dyDescent="0.25">
      <c r="A21" s="136"/>
      <c r="B21" s="137"/>
      <c r="C21" s="136"/>
      <c r="D21" s="136"/>
      <c r="E21" s="80" t="str">
        <f>IF($A21="","",IF($B21="","",IF('4. Purchased Energy Rates'!$B$4="Section 11 ECB",VLOOKUP($A21,'Lighting Lookup'!$A$2:$C$33,2),VLOOKUP($A21,'Lighting Lookup'!$A$2:$C$33,3))))</f>
        <v/>
      </c>
      <c r="F21" s="136"/>
      <c r="G21" s="116"/>
      <c r="H21" s="138"/>
      <c r="I21" s="134"/>
      <c r="J21" s="134"/>
    </row>
    <row r="22" spans="1:10" x14ac:dyDescent="0.25">
      <c r="A22" s="136"/>
      <c r="B22" s="137"/>
      <c r="C22" s="136"/>
      <c r="D22" s="136"/>
      <c r="E22" s="80" t="str">
        <f>IF($A22="","",IF($B22="","",IF('4. Purchased Energy Rates'!$B$4="Section 11 ECB",VLOOKUP($A22,'Lighting Lookup'!$A$2:$C$33,2),VLOOKUP($A22,'Lighting Lookup'!$A$2:$C$33,3))))</f>
        <v/>
      </c>
      <c r="F22" s="136"/>
      <c r="G22" s="116"/>
      <c r="H22" s="138"/>
      <c r="I22" s="134"/>
      <c r="J22" s="134"/>
    </row>
    <row r="23" spans="1:10" x14ac:dyDescent="0.25">
      <c r="A23" s="136"/>
      <c r="B23" s="137"/>
      <c r="C23" s="136"/>
      <c r="D23" s="136"/>
      <c r="E23" s="80" t="str">
        <f>IF($A23="","",IF($B23="","",IF('4. Purchased Energy Rates'!$B$4="Section 11 ECB",VLOOKUP($A23,'Lighting Lookup'!$A$2:$C$33,2),VLOOKUP($A23,'Lighting Lookup'!$A$2:$C$33,3))))</f>
        <v/>
      </c>
      <c r="F23" s="136"/>
      <c r="G23" s="116"/>
      <c r="H23" s="138"/>
      <c r="I23" s="134"/>
      <c r="J23" s="134"/>
    </row>
    <row r="24" spans="1:10" x14ac:dyDescent="0.25">
      <c r="A24" s="136"/>
      <c r="B24" s="137"/>
      <c r="C24" s="136"/>
      <c r="D24" s="136"/>
      <c r="E24" s="80" t="str">
        <f>IF($A24="","",IF($B24="","",IF('4. Purchased Energy Rates'!$B$4="Section 11 ECB",VLOOKUP($A24,'Lighting Lookup'!$A$2:$C$33,2),VLOOKUP($A24,'Lighting Lookup'!$A$2:$C$33,3))))</f>
        <v/>
      </c>
      <c r="F24" s="136"/>
      <c r="G24" s="116"/>
      <c r="H24" s="138"/>
      <c r="I24" s="134"/>
      <c r="J24" s="134"/>
    </row>
    <row r="25" spans="1:10" x14ac:dyDescent="0.25">
      <c r="A25" s="136"/>
      <c r="B25" s="137"/>
      <c r="C25" s="136"/>
      <c r="D25" s="136"/>
      <c r="E25" s="80" t="str">
        <f>IF($A25="","",IF($B25="","",IF('4. Purchased Energy Rates'!$B$4="Section 11 ECB",VLOOKUP($A25,'Lighting Lookup'!$A$2:$C$33,2),VLOOKUP($A25,'Lighting Lookup'!$A$2:$C$33,3))))</f>
        <v/>
      </c>
      <c r="F25" s="136"/>
      <c r="G25" s="116"/>
      <c r="H25" s="138"/>
      <c r="I25" s="134"/>
      <c r="J25" s="134"/>
    </row>
    <row r="26" spans="1:10" x14ac:dyDescent="0.25">
      <c r="A26" s="136"/>
      <c r="B26" s="137"/>
      <c r="C26" s="136"/>
      <c r="D26" s="136"/>
      <c r="E26" s="80" t="str">
        <f>IF($A26="","",IF($B26="","",IF('4. Purchased Energy Rates'!$B$4="Section 11 ECB",VLOOKUP($A26,'Lighting Lookup'!$A$2:$C$33,2),VLOOKUP($A26,'Lighting Lookup'!$A$2:$C$33,3))))</f>
        <v/>
      </c>
      <c r="F26" s="136"/>
      <c r="G26" s="116"/>
      <c r="H26" s="138"/>
      <c r="I26" s="134"/>
      <c r="J26" s="134"/>
    </row>
    <row r="27" spans="1:10" x14ac:dyDescent="0.25">
      <c r="A27" s="136"/>
      <c r="B27" s="137"/>
      <c r="C27" s="136"/>
      <c r="D27" s="136"/>
      <c r="E27" s="80" t="str">
        <f>IF($A27="","",IF($B27="","",IF('4. Purchased Energy Rates'!$B$4="Section 11 ECB",VLOOKUP($A27,'Lighting Lookup'!$A$2:$C$33,2),VLOOKUP($A27,'Lighting Lookup'!$A$2:$C$33,3))))</f>
        <v/>
      </c>
      <c r="F27" s="136"/>
      <c r="G27" s="116"/>
      <c r="H27" s="138"/>
      <c r="I27" s="134"/>
      <c r="J27" s="134"/>
    </row>
    <row r="28" spans="1:10" x14ac:dyDescent="0.25">
      <c r="A28" s="136"/>
      <c r="B28" s="137"/>
      <c r="C28" s="136"/>
      <c r="D28" s="136"/>
      <c r="E28" s="80" t="str">
        <f>IF($A28="","",IF($B28="","",IF('4. Purchased Energy Rates'!$B$4="Section 11 ECB",VLOOKUP($A28,'Lighting Lookup'!$A$2:$C$33,2),VLOOKUP($A28,'Lighting Lookup'!$A$2:$C$33,3))))</f>
        <v/>
      </c>
      <c r="F28" s="136"/>
      <c r="G28" s="116"/>
      <c r="H28" s="138"/>
      <c r="I28" s="134"/>
      <c r="J28" s="134"/>
    </row>
    <row r="29" spans="1:10" x14ac:dyDescent="0.25">
      <c r="A29" s="47" t="s">
        <v>54</v>
      </c>
      <c r="B29" s="82" t="str">
        <f>IF(B5="","",SUM(B5:B28))</f>
        <v/>
      </c>
      <c r="C29" s="48"/>
      <c r="D29" s="48"/>
      <c r="E29" s="81" t="str">
        <f>IF(B29="","",SUMPRODUCT(B5:B28,E5:E28)/B29)</f>
        <v/>
      </c>
      <c r="F29" s="48"/>
      <c r="G29" s="47"/>
      <c r="H29" s="81" t="str">
        <f>IF(H5="","",SUMPRODUCT(B5:B28,H5:H28)/B29)</f>
        <v/>
      </c>
      <c r="I29" s="139"/>
      <c r="J29" s="139"/>
    </row>
  </sheetData>
  <sheetProtection password="C5B9" sheet="1" objects="1" scenarios="1"/>
  <mergeCells count="10">
    <mergeCell ref="A2:A4"/>
    <mergeCell ref="B2:B4"/>
    <mergeCell ref="C2:E2"/>
    <mergeCell ref="F2:J2"/>
    <mergeCell ref="C3:C4"/>
    <mergeCell ref="D3:D4"/>
    <mergeCell ref="F3:F4"/>
    <mergeCell ref="G3:G4"/>
    <mergeCell ref="I3:I4"/>
    <mergeCell ref="J3:J4"/>
  </mergeCells>
  <dataValidations count="2">
    <dataValidation type="list" allowBlank="1" showInputMessage="1" showErrorMessage="1" sqref="A5:A28" xr:uid="{00000000-0002-0000-2100-000000000000}">
      <formula1>Ltg_Bldg</formula1>
    </dataValidation>
    <dataValidation type="list" allowBlank="1" showInputMessage="1" showErrorMessage="1" sqref="C5:D28 F5:G28" xr:uid="{00000000-0002-0000-2100-000001000000}">
      <formula1>Yes_No</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9">
    <tabColor rgb="FFFFC000"/>
  </sheetPr>
  <dimension ref="A3:J27"/>
  <sheetViews>
    <sheetView view="pageLayout" zoomScaleNormal="100" zoomScaleSheetLayoutView="115" workbookViewId="0">
      <selection activeCell="E16" sqref="E16"/>
    </sheetView>
  </sheetViews>
  <sheetFormatPr defaultRowHeight="15" x14ac:dyDescent="0.25"/>
  <cols>
    <col min="1" max="1" width="3.42578125" customWidth="1"/>
    <col min="2" max="2" width="13.140625" customWidth="1"/>
    <col min="3" max="3" width="11" customWidth="1"/>
    <col min="4" max="4" width="11.7109375" customWidth="1"/>
    <col min="5" max="5" width="12.85546875" customWidth="1"/>
    <col min="6" max="6" width="11.85546875" customWidth="1"/>
  </cols>
  <sheetData>
    <row r="3" spans="1:10" x14ac:dyDescent="0.25">
      <c r="A3" s="104" t="s">
        <v>698</v>
      </c>
      <c r="B3" s="497" t="s">
        <v>272</v>
      </c>
      <c r="C3" s="497"/>
      <c r="D3" s="497"/>
      <c r="E3" s="497"/>
      <c r="F3" s="497"/>
    </row>
    <row r="4" spans="1:10" ht="22.5" x14ac:dyDescent="0.25">
      <c r="A4" s="399"/>
      <c r="B4" s="399"/>
      <c r="C4" s="37" t="s">
        <v>273</v>
      </c>
      <c r="D4" s="37" t="s">
        <v>274</v>
      </c>
      <c r="E4" s="37" t="s">
        <v>21</v>
      </c>
      <c r="F4" s="37" t="s">
        <v>123</v>
      </c>
    </row>
    <row r="5" spans="1:10" ht="24" customHeight="1" x14ac:dyDescent="0.25">
      <c r="A5" s="399" t="s">
        <v>275</v>
      </c>
      <c r="B5" s="399"/>
      <c r="C5" s="83" t="str">
        <f>IF(SUM('Ext LPD Calculator'!J7:J21)=0,"",SUM('Ext LPD Calculator'!J7:J21))</f>
        <v/>
      </c>
      <c r="D5" s="83" t="str">
        <f>IF(SUM('Ext LPD Calculator'!I7:I21)=0,"",SUM('Ext LPD Calculator'!I7:I21))</f>
        <v/>
      </c>
      <c r="E5" s="134"/>
      <c r="F5" s="134" t="s">
        <v>699</v>
      </c>
    </row>
    <row r="6" spans="1:10" ht="24" customHeight="1" x14ac:dyDescent="0.25">
      <c r="A6" s="399" t="s">
        <v>276</v>
      </c>
      <c r="B6" s="399"/>
      <c r="C6" s="84" t="str">
        <f>IF(SUM('Ext LPD Calculator'!J22:J30)=0,"",SUM('Ext LPD Calculator'!J22:J30))</f>
        <v/>
      </c>
      <c r="D6" s="83" t="str">
        <f>IF(SUM('Ext LPD Calculator'!I22:I30)=0,"",SUM('Ext LPD Calculator'!I22:I30))</f>
        <v/>
      </c>
      <c r="E6" s="134"/>
      <c r="F6" s="134" t="s">
        <v>699</v>
      </c>
    </row>
    <row r="7" spans="1:10" x14ac:dyDescent="0.25">
      <c r="A7" s="399" t="s">
        <v>575</v>
      </c>
      <c r="B7" s="399"/>
      <c r="C7" s="84" t="str">
        <f>IF(AND(C5="",C6=""),"",'Ext LPD Calculator'!B4)</f>
        <v/>
      </c>
      <c r="D7" s="85"/>
      <c r="E7" s="134"/>
      <c r="F7" s="134"/>
    </row>
    <row r="8" spans="1:10" ht="23.25" customHeight="1" x14ac:dyDescent="0.25">
      <c r="A8" s="399" t="s">
        <v>277</v>
      </c>
      <c r="B8" s="399"/>
      <c r="C8" s="84" t="str">
        <f>IF(AND(C5="",C6=""),"",SUM(C5:C7)+'Ext LPD Calculator'!B4)</f>
        <v/>
      </c>
      <c r="D8" s="83" t="str">
        <f>IF(AND(D5="",D6=""),"",SUM(D5:D6))</f>
        <v/>
      </c>
      <c r="E8" s="134"/>
      <c r="F8" s="134" t="s">
        <v>699</v>
      </c>
    </row>
    <row r="9" spans="1:10" x14ac:dyDescent="0.25">
      <c r="A9" s="67" t="s">
        <v>438</v>
      </c>
    </row>
    <row r="12" spans="1:10" x14ac:dyDescent="0.25">
      <c r="A12" s="37" t="s">
        <v>339</v>
      </c>
      <c r="B12" s="399" t="s">
        <v>340</v>
      </c>
      <c r="C12" s="399"/>
      <c r="D12" s="399"/>
      <c r="E12" s="399"/>
      <c r="F12" s="399"/>
      <c r="G12" s="399"/>
      <c r="H12" s="399"/>
    </row>
    <row r="13" spans="1:10" ht="45" customHeight="1" x14ac:dyDescent="0.25">
      <c r="A13" s="395" t="s">
        <v>341</v>
      </c>
      <c r="B13" s="407"/>
      <c r="C13" s="37" t="s">
        <v>342</v>
      </c>
      <c r="D13" s="37" t="s">
        <v>343</v>
      </c>
      <c r="E13" s="37" t="s">
        <v>429</v>
      </c>
      <c r="F13" s="37" t="s">
        <v>344</v>
      </c>
      <c r="G13" s="37" t="s">
        <v>21</v>
      </c>
      <c r="H13" s="37" t="s">
        <v>123</v>
      </c>
    </row>
    <row r="14" spans="1:10" x14ac:dyDescent="0.25">
      <c r="A14" s="397"/>
      <c r="B14" s="408"/>
      <c r="C14" s="136" t="s">
        <v>345</v>
      </c>
      <c r="D14" s="83" t="str">
        <f>IF(C14="","",IF(C14="#","kW","W/SF"))</f>
        <v>W/SF</v>
      </c>
      <c r="E14" s="37"/>
      <c r="F14" s="37"/>
      <c r="G14" s="37"/>
      <c r="H14" s="37"/>
    </row>
    <row r="15" spans="1:10" x14ac:dyDescent="0.25">
      <c r="A15" s="394"/>
      <c r="B15" s="394"/>
      <c r="C15" s="141"/>
      <c r="D15" s="142"/>
      <c r="E15" s="134"/>
      <c r="F15" s="134"/>
      <c r="G15" s="134"/>
      <c r="H15" s="134"/>
      <c r="J15" s="143"/>
    </row>
    <row r="16" spans="1:10" x14ac:dyDescent="0.25">
      <c r="A16" s="394"/>
      <c r="B16" s="394"/>
      <c r="C16" s="141"/>
      <c r="D16" s="142"/>
      <c r="E16" s="134"/>
      <c r="F16" s="134"/>
      <c r="G16" s="134"/>
      <c r="H16" s="134"/>
      <c r="J16" s="143"/>
    </row>
    <row r="17" spans="1:8" x14ac:dyDescent="0.25">
      <c r="A17" s="394"/>
      <c r="B17" s="394"/>
      <c r="C17" s="141"/>
      <c r="D17" s="142"/>
      <c r="E17" s="134"/>
      <c r="F17" s="134"/>
      <c r="G17" s="134"/>
      <c r="H17" s="134"/>
    </row>
    <row r="18" spans="1:8" x14ac:dyDescent="0.25">
      <c r="A18" s="394"/>
      <c r="B18" s="394"/>
      <c r="C18" s="141"/>
      <c r="D18" s="142"/>
      <c r="E18" s="134"/>
      <c r="F18" s="134"/>
      <c r="G18" s="134"/>
      <c r="H18" s="134"/>
    </row>
    <row r="19" spans="1:8" x14ac:dyDescent="0.25">
      <c r="A19" s="394"/>
      <c r="B19" s="394"/>
      <c r="C19" s="141"/>
      <c r="D19" s="142"/>
      <c r="E19" s="134"/>
      <c r="F19" s="134"/>
      <c r="G19" s="134"/>
      <c r="H19" s="134"/>
    </row>
    <row r="20" spans="1:8" x14ac:dyDescent="0.25">
      <c r="A20" s="394"/>
      <c r="B20" s="394"/>
      <c r="C20" s="141"/>
      <c r="D20" s="142"/>
      <c r="E20" s="134"/>
      <c r="F20" s="134"/>
      <c r="G20" s="134"/>
      <c r="H20" s="134"/>
    </row>
    <row r="21" spans="1:8" x14ac:dyDescent="0.25">
      <c r="A21" s="394"/>
      <c r="B21" s="394"/>
      <c r="C21" s="141"/>
      <c r="D21" s="142"/>
      <c r="E21" s="134"/>
      <c r="F21" s="134"/>
      <c r="G21" s="134"/>
      <c r="H21" s="134"/>
    </row>
    <row r="22" spans="1:8" x14ac:dyDescent="0.25">
      <c r="A22" s="394"/>
      <c r="B22" s="394"/>
      <c r="C22" s="141"/>
      <c r="D22" s="142"/>
      <c r="E22" s="134"/>
      <c r="F22" s="134"/>
      <c r="G22" s="134"/>
      <c r="H22" s="134"/>
    </row>
    <row r="23" spans="1:8" x14ac:dyDescent="0.25">
      <c r="A23" s="394"/>
      <c r="B23" s="394"/>
      <c r="C23" s="141"/>
      <c r="D23" s="142"/>
      <c r="E23" s="134"/>
      <c r="F23" s="134"/>
      <c r="G23" s="134"/>
      <c r="H23" s="134"/>
    </row>
    <row r="24" spans="1:8" x14ac:dyDescent="0.25">
      <c r="A24" s="394"/>
      <c r="B24" s="394"/>
      <c r="C24" s="141"/>
      <c r="D24" s="142"/>
      <c r="E24" s="134"/>
      <c r="F24" s="134"/>
      <c r="G24" s="134"/>
      <c r="H24" s="134"/>
    </row>
    <row r="25" spans="1:8" x14ac:dyDescent="0.25">
      <c r="A25" s="394"/>
      <c r="B25" s="394"/>
      <c r="C25" s="141"/>
      <c r="D25" s="142"/>
      <c r="E25" s="134"/>
      <c r="F25" s="134"/>
      <c r="G25" s="134"/>
      <c r="H25" s="134"/>
    </row>
    <row r="26" spans="1:8" x14ac:dyDescent="0.25">
      <c r="A26" s="394"/>
      <c r="B26" s="394"/>
      <c r="C26" s="141"/>
      <c r="D26" s="142"/>
      <c r="E26" s="134"/>
      <c r="F26" s="134"/>
      <c r="G26" s="134"/>
      <c r="H26" s="134"/>
    </row>
    <row r="27" spans="1:8" x14ac:dyDescent="0.25">
      <c r="A27" s="399" t="s">
        <v>128</v>
      </c>
      <c r="B27" s="399"/>
      <c r="C27" s="86" t="str">
        <f>IF(SUM(C15:C26)=0,"",SUM(C15:C26))</f>
        <v/>
      </c>
      <c r="D27" s="86" t="str">
        <f>IF(SUM(D15:D26)=0,"",IF(D14="W/SF",SUMPRODUCT($C$15:$C$26,$D$15:$D$26)/1000,SUMPRODUCT($C$15:$C$26,$D$15:$D$26)))</f>
        <v/>
      </c>
      <c r="E27" s="37"/>
      <c r="F27" s="37"/>
      <c r="G27" s="37"/>
      <c r="H27" s="37"/>
    </row>
  </sheetData>
  <sheetProtection password="C5B9" sheet="1" objects="1" scenarios="1" insertRows="0"/>
  <mergeCells count="21">
    <mergeCell ref="B12:H12"/>
    <mergeCell ref="A15:B15"/>
    <mergeCell ref="A13:B14"/>
    <mergeCell ref="B3:F3"/>
    <mergeCell ref="A4:B4"/>
    <mergeCell ref="A5:B5"/>
    <mergeCell ref="A6:B6"/>
    <mergeCell ref="A7:B7"/>
    <mergeCell ref="A8:B8"/>
    <mergeCell ref="A27:B27"/>
    <mergeCell ref="A16:B16"/>
    <mergeCell ref="A17:B17"/>
    <mergeCell ref="A18:B18"/>
    <mergeCell ref="A19:B19"/>
    <mergeCell ref="A20:B20"/>
    <mergeCell ref="A21:B21"/>
    <mergeCell ref="A22:B22"/>
    <mergeCell ref="A23:B23"/>
    <mergeCell ref="A24:B24"/>
    <mergeCell ref="A25:B25"/>
    <mergeCell ref="A26:B26"/>
  </mergeCells>
  <dataValidations count="1">
    <dataValidation type="list" allowBlank="1" showInputMessage="1" showErrorMessage="1" sqref="F15:F26" xr:uid="{00000000-0002-0000-2200-000000000000}">
      <formula1>Yes_No</formula1>
    </dataValidation>
  </dataValidations>
  <pageMargins left="0.7" right="0.7" top="0.75" bottom="0.75" header="0.3" footer="0.3"/>
  <pageSetup orientation="portrait" r:id="rId1"/>
  <headerFooter>
    <oddHeader>&amp;L&amp;G&amp;C&amp;G</oddHeader>
    <oddFooter>&amp;RNovember 2016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1000000}">
          <x14:formula1>
            <xm:f>Lists!$Q$1:$Q$2</xm:f>
          </x14:formula1>
          <xm:sqref>C14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0">
    <tabColor rgb="FFFFC000"/>
  </sheetPr>
  <dimension ref="A2:W31"/>
  <sheetViews>
    <sheetView view="pageLayout" topLeftCell="A4" zoomScaleNormal="100" zoomScaleSheetLayoutView="115" workbookViewId="0">
      <selection activeCell="H18" sqref="H18"/>
    </sheetView>
  </sheetViews>
  <sheetFormatPr defaultRowHeight="15" x14ac:dyDescent="0.25"/>
  <cols>
    <col min="1" max="1" width="5.7109375" style="10" customWidth="1"/>
    <col min="2" max="2" width="14.42578125" style="10" customWidth="1"/>
    <col min="3" max="3" width="6.42578125" style="10" customWidth="1"/>
    <col min="4" max="4" width="7.85546875" style="10" customWidth="1"/>
    <col min="5" max="5" width="7" style="11" customWidth="1"/>
    <col min="6" max="6" width="7.85546875" style="10" customWidth="1"/>
    <col min="7" max="7" width="6.42578125" style="10" customWidth="1"/>
    <col min="8" max="8" width="7.85546875" style="10" customWidth="1"/>
    <col min="9" max="10" width="9.7109375" style="10" customWidth="1"/>
    <col min="11" max="11" width="6.5703125" customWidth="1"/>
    <col min="12" max="12" width="13.7109375" customWidth="1"/>
    <col min="14" max="14" width="2" hidden="1" customWidth="1"/>
    <col min="15" max="16" width="6.7109375" hidden="1" customWidth="1"/>
    <col min="17" max="17" width="2" hidden="1" customWidth="1"/>
    <col min="18" max="18" width="6" hidden="1" customWidth="1"/>
    <col min="19" max="19" width="0" hidden="1" customWidth="1"/>
  </cols>
  <sheetData>
    <row r="2" spans="1:23" x14ac:dyDescent="0.25">
      <c r="A2" s="28"/>
      <c r="B2" s="514" t="s">
        <v>279</v>
      </c>
      <c r="C2" s="514"/>
      <c r="D2" s="514"/>
      <c r="E2" s="514"/>
      <c r="F2" s="514"/>
      <c r="G2" s="514"/>
      <c r="H2" s="514"/>
    </row>
    <row r="3" spans="1:23" ht="43.9" customHeight="1" x14ac:dyDescent="0.25">
      <c r="A3" s="28"/>
      <c r="B3" s="50">
        <v>2</v>
      </c>
      <c r="C3" s="503" t="str">
        <f>IF(B3="","",LOOKUP(B3,LZ,LZDEC))</f>
        <v>R districts, R districts with C overlays and MX districts</v>
      </c>
      <c r="D3" s="503"/>
      <c r="E3" s="503"/>
      <c r="F3" s="503"/>
      <c r="G3" s="503"/>
      <c r="H3" s="503"/>
      <c r="I3" s="28"/>
      <c r="J3" s="28"/>
    </row>
    <row r="4" spans="1:23" ht="15" customHeight="1" x14ac:dyDescent="0.25">
      <c r="B4" s="94">
        <f>IF(B3="","",IF($B3="","",IF('4. Purchased Energy Rates'!$B$4="Section 11 ECB",VLOOKUP(B3,'Lighting Zones'!B1:D6,3,FALSE),0)))</f>
        <v>600</v>
      </c>
      <c r="C4" s="503" t="s">
        <v>280</v>
      </c>
      <c r="D4" s="503"/>
      <c r="E4" s="503"/>
      <c r="F4" s="503"/>
      <c r="G4" s="503"/>
      <c r="H4" s="503"/>
    </row>
    <row r="6" spans="1:23" ht="33.75" customHeight="1" x14ac:dyDescent="0.25">
      <c r="A6" s="13"/>
      <c r="B6" s="49" t="s">
        <v>60</v>
      </c>
      <c r="C6" s="390" t="s">
        <v>61</v>
      </c>
      <c r="D6" s="390"/>
      <c r="E6" s="390"/>
      <c r="F6" s="390"/>
      <c r="G6" s="390"/>
      <c r="H6" s="49" t="s">
        <v>414</v>
      </c>
      <c r="I6" s="37" t="s">
        <v>327</v>
      </c>
      <c r="J6" s="37" t="s">
        <v>118</v>
      </c>
      <c r="K6" s="402" t="s">
        <v>278</v>
      </c>
      <c r="L6" s="404"/>
      <c r="N6" s="13"/>
      <c r="O6" s="13"/>
      <c r="P6" s="13"/>
      <c r="Q6" s="13"/>
      <c r="R6" s="13"/>
      <c r="S6" s="13"/>
      <c r="T6" s="13"/>
      <c r="U6" s="13"/>
      <c r="V6" s="13"/>
      <c r="W6" s="13"/>
    </row>
    <row r="7" spans="1:23" ht="23.25" x14ac:dyDescent="0.25">
      <c r="A7" s="498" t="s">
        <v>58</v>
      </c>
      <c r="B7" s="29" t="s">
        <v>312</v>
      </c>
      <c r="C7" s="500" t="s">
        <v>63</v>
      </c>
      <c r="D7" s="501"/>
      <c r="E7" s="501"/>
      <c r="F7" s="501"/>
      <c r="G7" s="502"/>
      <c r="H7" s="144"/>
      <c r="I7" s="144"/>
      <c r="J7" s="87" t="str">
        <f t="shared" ref="J7:J21" si="0">IF(H7="","",H7*K7)</f>
        <v/>
      </c>
      <c r="K7" s="88">
        <f>IF($B$3&lt;&gt;"",IF($B$3=0,0,IF($B3="","",IF('4. Purchased Energy Rates'!$B$4="Section 11 ECB",IF($B$3=1,0.04,IF($B$3=2,0.06,IF($B$3=3,0.1,0.13))),0.15))))</f>
        <v>0.06</v>
      </c>
      <c r="L7" s="89" t="s">
        <v>323</v>
      </c>
      <c r="N7" s="13"/>
      <c r="O7" s="13"/>
      <c r="P7" s="13"/>
      <c r="Q7" s="13"/>
      <c r="R7" s="13"/>
      <c r="S7" s="13"/>
      <c r="T7" s="13"/>
      <c r="U7" s="13"/>
      <c r="V7" s="13"/>
      <c r="W7" s="13"/>
    </row>
    <row r="8" spans="1:23" x14ac:dyDescent="0.25">
      <c r="A8" s="499"/>
      <c r="B8" s="515" t="s">
        <v>313</v>
      </c>
      <c r="C8" s="500" t="s">
        <v>315</v>
      </c>
      <c r="D8" s="501"/>
      <c r="E8" s="501"/>
      <c r="F8" s="501"/>
      <c r="G8" s="502"/>
      <c r="H8" s="144"/>
      <c r="I8" s="144"/>
      <c r="J8" s="87" t="str">
        <f t="shared" si="0"/>
        <v/>
      </c>
      <c r="K8" s="88">
        <f>IF($B$3&lt;&gt;"",IF($B$3=0,0,IF($B3="","",IF('4. Purchased Energy Rates'!$B$4="Section 11 ECB",IF($B$3=1,0.7,IF($B$3=2,0.7,IF($B$3=3,0.8,1))),1))))</f>
        <v>0.7</v>
      </c>
      <c r="L8" s="89" t="s">
        <v>323</v>
      </c>
      <c r="N8" s="13"/>
      <c r="O8" s="13"/>
      <c r="P8" s="13"/>
      <c r="Q8" s="13"/>
      <c r="R8" s="13"/>
      <c r="S8" s="13"/>
      <c r="T8" s="13"/>
      <c r="U8" s="13"/>
      <c r="V8" s="13"/>
      <c r="W8" s="13"/>
    </row>
    <row r="9" spans="1:23" x14ac:dyDescent="0.25">
      <c r="A9" s="499"/>
      <c r="B9" s="508"/>
      <c r="C9" s="500" t="s">
        <v>314</v>
      </c>
      <c r="D9" s="501"/>
      <c r="E9" s="501"/>
      <c r="F9" s="501"/>
      <c r="G9" s="502"/>
      <c r="H9" s="144"/>
      <c r="I9" s="144"/>
      <c r="J9" s="87" t="str">
        <f t="shared" si="0"/>
        <v/>
      </c>
      <c r="K9" s="88">
        <f>IF($B$3&lt;&gt;"",IF($B$3=0,0,IF($B3="","",IF('4. Purchased Energy Rates'!$B$4="Section 11 ECB",IF($B$3=1,0.14,IF($B$3=2,0.14,IF($B$3=3,0.16,0.2))),0.2))))</f>
        <v>0.14000000000000001</v>
      </c>
      <c r="L9" s="89" t="s">
        <v>323</v>
      </c>
      <c r="N9" s="13"/>
      <c r="O9" s="13"/>
      <c r="P9" s="13"/>
      <c r="Q9" s="13"/>
      <c r="R9" s="13"/>
      <c r="S9" s="13"/>
      <c r="T9" s="13"/>
      <c r="U9" s="13"/>
      <c r="V9" s="13"/>
      <c r="W9" s="13"/>
    </row>
    <row r="10" spans="1:23" x14ac:dyDescent="0.25">
      <c r="A10" s="499"/>
      <c r="B10" s="508"/>
      <c r="C10" s="500" t="s">
        <v>317</v>
      </c>
      <c r="D10" s="501"/>
      <c r="E10" s="501"/>
      <c r="F10" s="501"/>
      <c r="G10" s="502"/>
      <c r="H10" s="144"/>
      <c r="I10" s="144"/>
      <c r="J10" s="87" t="str">
        <f t="shared" si="0"/>
        <v/>
      </c>
      <c r="K10" s="88">
        <f>IF($B$3&lt;&gt;"",IF($B$3=0,0,IF($B3="","",IF('4. Purchased Energy Rates'!$B$4="Section 11 ECB",IF($B$3=1,0.14,IF($B$3=2,0.14,IF($B$3=3,0.16,0.2))),0.2))))</f>
        <v>0.14000000000000001</v>
      </c>
      <c r="L10" s="89" t="s">
        <v>323</v>
      </c>
      <c r="N10" s="13"/>
      <c r="O10" s="13"/>
      <c r="P10" s="13"/>
      <c r="Q10" s="13"/>
      <c r="R10" s="13"/>
      <c r="S10" s="13"/>
      <c r="T10" s="13"/>
      <c r="U10" s="13"/>
      <c r="V10" s="13"/>
      <c r="W10" s="13"/>
    </row>
    <row r="11" spans="1:23" x14ac:dyDescent="0.25">
      <c r="A11" s="499"/>
      <c r="B11" s="508"/>
      <c r="C11" s="500" t="s">
        <v>316</v>
      </c>
      <c r="D11" s="501"/>
      <c r="E11" s="501"/>
      <c r="F11" s="501"/>
      <c r="G11" s="502"/>
      <c r="H11" s="144"/>
      <c r="I11" s="144"/>
      <c r="J11" s="87" t="str">
        <f t="shared" si="0"/>
        <v/>
      </c>
      <c r="K11" s="88">
        <f>IF($B$3&lt;&gt;"",IF($B$3=0,0,IF($B3="","",IF('4. Purchased Energy Rates'!$B$4="Section 11 ECB",IF($B$3=1,0.14,IF($B$3=2,0.14,IF($B$3=3,0.16,0.2))),1))))</f>
        <v>0.14000000000000001</v>
      </c>
      <c r="L11" s="89" t="s">
        <v>323</v>
      </c>
      <c r="N11" s="13"/>
      <c r="O11" s="13"/>
      <c r="P11" s="13"/>
      <c r="Q11" s="13"/>
      <c r="R11" s="13"/>
      <c r="S11" s="13"/>
      <c r="T11" s="13"/>
      <c r="U11" s="13"/>
      <c r="V11" s="13"/>
      <c r="W11" s="13"/>
    </row>
    <row r="12" spans="1:23" ht="15" customHeight="1" x14ac:dyDescent="0.25">
      <c r="A12" s="499"/>
      <c r="B12" s="508"/>
      <c r="C12" s="500" t="s">
        <v>318</v>
      </c>
      <c r="D12" s="501"/>
      <c r="E12" s="501"/>
      <c r="F12" s="501"/>
      <c r="G12" s="502"/>
      <c r="H12" s="144"/>
      <c r="I12" s="144"/>
      <c r="J12" s="87" t="str">
        <f t="shared" si="0"/>
        <v/>
      </c>
      <c r="K12" s="88">
        <f>IF($B$3&lt;&gt;"",IF($B$3=0,0,IF($B$3=1,0.75,IF($B$3=2,1,IF($B$3=3,1,1)))),"")</f>
        <v>1</v>
      </c>
      <c r="L12" s="89" t="s">
        <v>323</v>
      </c>
      <c r="N12" s="13"/>
      <c r="O12" s="13"/>
      <c r="P12" s="13"/>
      <c r="Q12" s="13"/>
      <c r="R12" s="13"/>
      <c r="S12" s="13"/>
      <c r="T12" s="13"/>
      <c r="U12" s="13"/>
      <c r="V12" s="13"/>
      <c r="W12" s="13"/>
    </row>
    <row r="13" spans="1:23" x14ac:dyDescent="0.25">
      <c r="A13" s="499"/>
      <c r="B13" s="508"/>
      <c r="C13" s="500" t="s">
        <v>319</v>
      </c>
      <c r="D13" s="501"/>
      <c r="E13" s="501"/>
      <c r="F13" s="501"/>
      <c r="G13" s="502"/>
      <c r="H13" s="144"/>
      <c r="I13" s="144"/>
      <c r="J13" s="87" t="str">
        <f t="shared" si="0"/>
        <v/>
      </c>
      <c r="K13" s="88">
        <f>IF($B$3&lt;&gt;"",IF($B$3=0,0,IF($B3="","",IF('4. Purchased Energy Rates'!$B$4="Section 11 ECB",IF($B$3=1,0.15,IF($B$3=2,0.15,IF($B$3=3,0.2,0.3))),I13))))</f>
        <v>0.15</v>
      </c>
      <c r="L13" s="89" t="s">
        <v>323</v>
      </c>
      <c r="N13" s="13"/>
      <c r="O13" s="13"/>
      <c r="P13" s="13"/>
      <c r="Q13" s="13"/>
      <c r="R13" s="13"/>
      <c r="S13" s="13"/>
      <c r="T13" s="13"/>
      <c r="U13" s="13"/>
      <c r="V13" s="13"/>
      <c r="W13" s="13"/>
    </row>
    <row r="14" spans="1:23" x14ac:dyDescent="0.25">
      <c r="A14" s="499"/>
      <c r="B14" s="509"/>
      <c r="C14" s="504" t="s">
        <v>70</v>
      </c>
      <c r="D14" s="504"/>
      <c r="E14" s="504"/>
      <c r="F14" s="504"/>
      <c r="G14" s="504"/>
      <c r="H14" s="144"/>
      <c r="I14" s="144"/>
      <c r="J14" s="87" t="str">
        <f t="shared" si="0"/>
        <v/>
      </c>
      <c r="K14" s="88">
        <f>IF($B$3&lt;&gt;"",IF($B$3=0,0,IF($B3="","",IF('4. Purchased Energy Rates'!$B$4="Section 11 ECB",IF($B$3=1,0.04,IF($B$3=2,0.05,IF($B$3=3,0.05,0.05))),I14))))</f>
        <v>0.05</v>
      </c>
      <c r="L14" s="89" t="s">
        <v>323</v>
      </c>
      <c r="N14" s="13"/>
      <c r="O14" s="13"/>
      <c r="P14" s="13"/>
      <c r="Q14" s="13"/>
      <c r="R14" s="13"/>
      <c r="S14" s="13"/>
      <c r="T14" s="13"/>
      <c r="U14" s="13"/>
      <c r="V14" s="13"/>
      <c r="W14" s="13"/>
    </row>
    <row r="15" spans="1:23" ht="26.25" customHeight="1" x14ac:dyDescent="0.25">
      <c r="A15" s="499"/>
      <c r="B15" s="515" t="s">
        <v>322</v>
      </c>
      <c r="C15" s="504" t="s">
        <v>320</v>
      </c>
      <c r="D15" s="504"/>
      <c r="E15" s="504"/>
      <c r="F15" s="504"/>
      <c r="G15" s="504"/>
      <c r="H15" s="144"/>
      <c r="I15" s="144"/>
      <c r="J15" s="87" t="str">
        <f t="shared" si="0"/>
        <v/>
      </c>
      <c r="K15" s="88">
        <f>IF($B$3&lt;&gt;"",IF($B$3=0,0,IF($B3="","",IF('4. Purchased Energy Rates'!$B$4="Section 11 ECB",IF($B$3=1,20,IF($B$3=2,20,IF($B$3=3,30,30))),30))))</f>
        <v>20</v>
      </c>
      <c r="L15" s="89" t="s">
        <v>324</v>
      </c>
      <c r="N15" s="13"/>
      <c r="O15" s="13"/>
      <c r="P15" s="13"/>
      <c r="Q15" s="13"/>
      <c r="R15" s="13"/>
      <c r="S15" s="13"/>
      <c r="T15" s="13"/>
      <c r="U15" s="13"/>
      <c r="V15" s="13"/>
      <c r="W15" s="13"/>
    </row>
    <row r="16" spans="1:23" ht="26.25" customHeight="1" x14ac:dyDescent="0.25">
      <c r="A16" s="499"/>
      <c r="B16" s="508"/>
      <c r="C16" s="504" t="s">
        <v>321</v>
      </c>
      <c r="D16" s="504"/>
      <c r="E16" s="504"/>
      <c r="F16" s="504"/>
      <c r="G16" s="504"/>
      <c r="H16" s="144"/>
      <c r="I16" s="144"/>
      <c r="J16" s="87" t="str">
        <f t="shared" si="0"/>
        <v/>
      </c>
      <c r="K16" s="88">
        <f>IF($B$3&lt;&gt;"",IF($B$3=0,0,IF($B3="","",IF('4. Purchased Energy Rates'!$B$4="Section 11 ECB",IF($B$3=1,20,IF($B$3=2,20,IF($B$3=3,20,20))),20))))</f>
        <v>20</v>
      </c>
      <c r="L16" s="89" t="s">
        <v>324</v>
      </c>
      <c r="N16" s="13"/>
      <c r="O16" s="13"/>
      <c r="P16" s="13"/>
      <c r="Q16" s="13"/>
      <c r="R16" s="13"/>
      <c r="S16" s="13"/>
      <c r="T16" s="13"/>
      <c r="U16" s="13"/>
      <c r="V16" s="13"/>
      <c r="W16" s="13"/>
    </row>
    <row r="17" spans="1:23" ht="24" customHeight="1" x14ac:dyDescent="0.25">
      <c r="A17" s="499"/>
      <c r="B17" s="508"/>
      <c r="C17" s="504" t="s">
        <v>74</v>
      </c>
      <c r="D17" s="504"/>
      <c r="E17" s="504"/>
      <c r="F17" s="504"/>
      <c r="G17" s="504"/>
      <c r="H17" s="144"/>
      <c r="I17" s="144"/>
      <c r="J17" s="87" t="str">
        <f t="shared" si="0"/>
        <v/>
      </c>
      <c r="K17" s="88">
        <f>IF($B$3&lt;&gt;"",IF($B$3=0,0,IF($B3="","",IF('4. Purchased Energy Rates'!$B$4="Section 11 ECB",IF($B$3=1,0.25,IF($B$3=2,0.25,IF($B$3=3,0.4,0.4))),1.25))))</f>
        <v>0.25</v>
      </c>
      <c r="L17" s="89" t="s">
        <v>323</v>
      </c>
      <c r="N17" s="13"/>
      <c r="O17" s="13"/>
      <c r="P17" s="13"/>
      <c r="Q17" s="13"/>
      <c r="R17" s="13"/>
      <c r="S17" s="13"/>
      <c r="T17" s="13"/>
      <c r="U17" s="13"/>
      <c r="V17" s="13"/>
      <c r="W17" s="13"/>
    </row>
    <row r="18" spans="1:23" ht="24" customHeight="1" x14ac:dyDescent="0.25">
      <c r="A18" s="499"/>
      <c r="B18" s="509"/>
      <c r="C18" s="500" t="s">
        <v>549</v>
      </c>
      <c r="D18" s="501"/>
      <c r="E18" s="501"/>
      <c r="F18" s="501"/>
      <c r="G18" s="502"/>
      <c r="H18" s="144"/>
      <c r="I18" s="144"/>
      <c r="J18" s="87"/>
      <c r="K18" s="88">
        <f>IF($B$3&lt;&gt;"",IF($B$3=0,0,IF($B3="","",IF('4. Purchased Energy Rates'!$B$4="Section 11 ECB",IF($B$3=1,0.5,IF($B$3=2,0.5,IF($B$3=3,0.5,0.5))),I18))))</f>
        <v>0.5</v>
      </c>
      <c r="L18" s="89" t="s">
        <v>323</v>
      </c>
      <c r="N18" s="13"/>
      <c r="O18" s="13"/>
      <c r="P18" s="13"/>
      <c r="Q18" s="13"/>
      <c r="R18" s="13"/>
      <c r="S18" s="13"/>
      <c r="T18" s="13"/>
      <c r="U18" s="13"/>
      <c r="V18" s="13"/>
      <c r="W18" s="13"/>
    </row>
    <row r="19" spans="1:23" ht="24.75" customHeight="1" x14ac:dyDescent="0.25">
      <c r="A19" s="499"/>
      <c r="B19" s="29" t="s">
        <v>75</v>
      </c>
      <c r="C19" s="504" t="s">
        <v>76</v>
      </c>
      <c r="D19" s="504"/>
      <c r="E19" s="504"/>
      <c r="F19" s="504"/>
      <c r="G19" s="504"/>
      <c r="H19" s="144"/>
      <c r="I19" s="144"/>
      <c r="J19" s="87" t="str">
        <f t="shared" si="0"/>
        <v/>
      </c>
      <c r="K19" s="88">
        <f>IF($B$3&lt;&gt;"",IF($B$3=0,0,IF($B3="","",IF('4. Purchased Energy Rates'!$B$4="Section 11 ECB",IF($B$3=1,0.6,IF($B$3=2,0.6,IF($B$3=3,0.8,1))),1.25))))</f>
        <v>0.6</v>
      </c>
      <c r="L19" s="89" t="s">
        <v>323</v>
      </c>
      <c r="N19" s="13"/>
      <c r="O19" s="13"/>
      <c r="P19" s="13"/>
      <c r="Q19" s="13"/>
      <c r="R19" s="13"/>
      <c r="S19" s="13"/>
      <c r="T19" s="13"/>
      <c r="U19" s="13"/>
      <c r="V19" s="13"/>
      <c r="W19" s="13"/>
    </row>
    <row r="20" spans="1:23" ht="26.25" customHeight="1" x14ac:dyDescent="0.25">
      <c r="A20" s="499"/>
      <c r="B20" s="516" t="s">
        <v>77</v>
      </c>
      <c r="C20" s="504" t="s">
        <v>78</v>
      </c>
      <c r="D20" s="504"/>
      <c r="E20" s="504"/>
      <c r="F20" s="504"/>
      <c r="G20" s="504"/>
      <c r="H20" s="144"/>
      <c r="I20" s="144"/>
      <c r="J20" s="87" t="str">
        <f t="shared" si="0"/>
        <v/>
      </c>
      <c r="K20" s="88">
        <f>IF($B$3&lt;&gt;"",IF($B$3=0,0,IF($B3="","",IF('4. Purchased Energy Rates'!$B$4="Section 11 ECB",IF($B$3=1,0.25,IF($B$3=2,0.25,IF($B$3=3,0.5,0.7))),0.5))))</f>
        <v>0.25</v>
      </c>
      <c r="L20" s="89" t="s">
        <v>323</v>
      </c>
      <c r="N20" s="13"/>
      <c r="O20" s="13"/>
      <c r="P20" s="13"/>
      <c r="Q20" s="13"/>
      <c r="R20" s="13"/>
      <c r="S20" s="13"/>
      <c r="T20" s="13"/>
      <c r="U20" s="13"/>
      <c r="V20" s="13"/>
      <c r="W20" s="13"/>
    </row>
    <row r="21" spans="1:23" ht="35.25" customHeight="1" thickBot="1" x14ac:dyDescent="0.3">
      <c r="A21" s="499"/>
      <c r="B21" s="517"/>
      <c r="C21" s="505" t="s">
        <v>80</v>
      </c>
      <c r="D21" s="505"/>
      <c r="E21" s="505"/>
      <c r="F21" s="505"/>
      <c r="G21" s="505"/>
      <c r="H21" s="145"/>
      <c r="I21" s="144"/>
      <c r="J21" s="87" t="str">
        <f t="shared" si="0"/>
        <v/>
      </c>
      <c r="K21" s="88">
        <f>IF($B$3&lt;&gt;"",IF($B$3=0,0,IF($B3="","",IF('4. Purchased Energy Rates'!$B$4="Section 11 ECB",IF($B$3=1,0,IF($B$3=2,10,IF($B$3=3,10,30))),20))))</f>
        <v>10</v>
      </c>
      <c r="L21" s="89" t="s">
        <v>324</v>
      </c>
      <c r="N21" s="13"/>
      <c r="O21" s="13"/>
      <c r="P21" s="13"/>
      <c r="Q21" s="13"/>
      <c r="R21" s="13"/>
      <c r="S21" s="13"/>
      <c r="T21" s="13"/>
      <c r="U21" s="13"/>
      <c r="V21" s="13"/>
      <c r="W21" s="13"/>
    </row>
    <row r="22" spans="1:23" ht="33.75" customHeight="1" thickTop="1" x14ac:dyDescent="0.25">
      <c r="A22" s="506" t="s">
        <v>81</v>
      </c>
      <c r="B22" s="507" t="s">
        <v>82</v>
      </c>
      <c r="C22" s="510" t="s">
        <v>419</v>
      </c>
      <c r="D22" s="511"/>
      <c r="E22" s="147"/>
      <c r="F22" s="512" t="s">
        <v>415</v>
      </c>
      <c r="G22" s="513"/>
      <c r="H22" s="146"/>
      <c r="I22" s="147"/>
      <c r="J22" s="90" t="str">
        <f>IF(I22="","",IF(Q22&gt;R22,Q22,R22))</f>
        <v/>
      </c>
      <c r="K22" s="88">
        <f>IF($B$3&lt;&gt;"",IF($B$3=0,0,IF($B$3=1,0,IF($B$3=2,IF(Q22&gt;R22,O22,P22),IF($B$3=3,IF(Q22&gt;R22,O22,P22),IF(Q22&gt;R22,O22,P22))))),"")</f>
        <v>2.5</v>
      </c>
      <c r="L22" s="89" t="str">
        <f>IF($B$3&lt;&gt;"",IF($B$3=0,0,IF($B$3=1,0,IF($B$3=2,IF(Q22&gt;R22,"W/SF","W/FT"),IF($B$3=3,IF(Q22&gt;R22,"W/SF","W/FT"),IF(Q22&gt;R22,"W/SF","W/FT"))))),"")</f>
        <v>W/FT</v>
      </c>
      <c r="N22" s="13">
        <v>5</v>
      </c>
      <c r="O22" s="16">
        <f>IF($B$3&lt;&gt;"",IF($B$3=0,0,IF($B$3="","",IF('4. Purchased Energy Rates'!$B$4="Section 11 ECB",IF($B$3=1,0,IF($B$3=2,0.1,IF($B$3=3,0.15,0.2))),0.2))))</f>
        <v>0.1</v>
      </c>
      <c r="P22" s="16">
        <f>IF($B$3&lt;&gt;"",IF($B$3=0,0,IF($B$3="","",IF('4. Purchased Energy Rates'!$B$4="Section 11 ECB",IF($B$3=1,0,IF($B$3=2,2.5,IF($B$3=3,3.75,5))),5))))</f>
        <v>2.5</v>
      </c>
      <c r="Q22" s="13">
        <f>O22*E22</f>
        <v>0</v>
      </c>
      <c r="R22" s="13">
        <f>H22*P22</f>
        <v>0</v>
      </c>
      <c r="S22" s="13"/>
      <c r="T22" s="13"/>
      <c r="U22" s="13"/>
      <c r="V22" s="13"/>
      <c r="W22" s="13"/>
    </row>
    <row r="23" spans="1:23" ht="29.25" customHeight="1" x14ac:dyDescent="0.25">
      <c r="A23" s="506"/>
      <c r="B23" s="508"/>
      <c r="C23" s="510" t="s">
        <v>420</v>
      </c>
      <c r="D23" s="511"/>
      <c r="E23" s="147"/>
      <c r="F23" s="500" t="s">
        <v>416</v>
      </c>
      <c r="G23" s="502"/>
      <c r="H23" s="146"/>
      <c r="I23" s="147"/>
      <c r="J23" s="90" t="str">
        <f>IF(I23="","",IF(Q23&gt;R23,Q23,R23))</f>
        <v/>
      </c>
      <c r="K23" s="88">
        <f t="shared" ref="K23:K25" si="1">IF($B$3&lt;&gt;"",IF($B$3=0,0,IF($B$3=1,0,IF($B$3=2,IF(Q23&gt;R23,O23,P23),IF($B$3=3,IF(Q23&gt;R23,O23,P23),IF(Q23&gt;R23,O23,P23))))),"")</f>
        <v>2.5</v>
      </c>
      <c r="L23" s="89" t="str">
        <f t="shared" ref="L23:L28" si="2">IF($B$3&lt;&gt;"",IF($B$3=0,0,IF($B$3=1,0,IF($B$3=2,IF(Q23&gt;R23,"W/SF","W/FT"),IF($B$3=3,IF(Q23&gt;R23,"W/SF","W/FT"),IF(Q23&gt;R23,"W/SF","W/FT"))))),"")</f>
        <v>W/FT</v>
      </c>
      <c r="N23" s="13"/>
      <c r="O23" s="16">
        <f>IF($B$3&lt;&gt;"",IF($B$3=0,0,IF($B$3="","",IF('4. Purchased Energy Rates'!$B$4="Section 11 ECB",IF($B$3=1,0,IF($B$3=2,0.1,IF($B$3=3,0.15,0.2))),0.2))))</f>
        <v>0.1</v>
      </c>
      <c r="P23" s="16">
        <f>IF($B$3&lt;&gt;"",IF($B$3=0,0,IF($B$3="","",IF('4. Purchased Energy Rates'!$B$4="Section 11 ECB",IF($B$3=1,0,IF($B$3=2,2.5,IF($B$3=3,3.75,5))),5))))</f>
        <v>2.5</v>
      </c>
      <c r="Q23" s="13">
        <f>O23*E23</f>
        <v>0</v>
      </c>
      <c r="R23" s="13">
        <f>H23*P23</f>
        <v>0</v>
      </c>
      <c r="S23" s="13"/>
      <c r="T23" s="13"/>
      <c r="U23" s="13"/>
      <c r="V23" s="13"/>
      <c r="W23" s="13"/>
    </row>
    <row r="24" spans="1:23" ht="30" customHeight="1" x14ac:dyDescent="0.25">
      <c r="A24" s="506"/>
      <c r="B24" s="508"/>
      <c r="C24" s="510" t="s">
        <v>421</v>
      </c>
      <c r="D24" s="511"/>
      <c r="E24" s="147"/>
      <c r="F24" s="500" t="s">
        <v>417</v>
      </c>
      <c r="G24" s="502"/>
      <c r="H24" s="146"/>
      <c r="I24" s="147"/>
      <c r="J24" s="90" t="str">
        <f>IF(I24="","",IF(Q24&gt;R24,Q24,R24))</f>
        <v/>
      </c>
      <c r="K24" s="88">
        <f t="shared" si="1"/>
        <v>2.5</v>
      </c>
      <c r="L24" s="89" t="str">
        <f t="shared" si="2"/>
        <v>W/FT</v>
      </c>
      <c r="N24" s="13"/>
      <c r="O24" s="16">
        <f>IF($B$3&lt;&gt;"",IF($B$3=0,0,IF($B$3="","",IF('4. Purchased Energy Rates'!$B$4="Section 11 ECB",IF($B$3=1,0,IF($B$3=2,0.1,IF($B$3=3,0.15,0.2))),0.2))))</f>
        <v>0.1</v>
      </c>
      <c r="P24" s="16">
        <f>IF($B$3&lt;&gt;"",IF($B$3=0,0,IF($B$3="","",IF('4. Purchased Energy Rates'!$B$4="Section 11 ECB",IF($B$3=1,0,IF($B$3=2,2.5,IF($B$3=3,3.75,5))),5))))</f>
        <v>2.5</v>
      </c>
      <c r="Q24" s="13">
        <f>O24*E24</f>
        <v>0</v>
      </c>
      <c r="R24" s="13">
        <f>H24*P24</f>
        <v>0</v>
      </c>
      <c r="S24" s="13"/>
      <c r="T24" s="13"/>
      <c r="U24" s="13"/>
      <c r="V24" s="13"/>
      <c r="W24" s="13"/>
    </row>
    <row r="25" spans="1:23" ht="28.5" customHeight="1" x14ac:dyDescent="0.25">
      <c r="A25" s="506"/>
      <c r="B25" s="509"/>
      <c r="C25" s="510" t="s">
        <v>422</v>
      </c>
      <c r="D25" s="511"/>
      <c r="E25" s="147"/>
      <c r="F25" s="500" t="s">
        <v>418</v>
      </c>
      <c r="G25" s="502"/>
      <c r="H25" s="146"/>
      <c r="I25" s="147"/>
      <c r="J25" s="90" t="str">
        <f>IF(I25="","",IF(Q25&gt;R25,Q25,R25))</f>
        <v/>
      </c>
      <c r="K25" s="88">
        <f t="shared" si="1"/>
        <v>2.5</v>
      </c>
      <c r="L25" s="89" t="str">
        <f t="shared" si="2"/>
        <v>W/FT</v>
      </c>
      <c r="N25" s="13"/>
      <c r="O25" s="16">
        <f>IF($B$3&lt;&gt;"",IF($B$3=0,0,IF($B$3="","",IF('4. Purchased Energy Rates'!$B$4="Section 11 ECB",IF($B$3=1,0,IF($B$3=2,0.1,IF($B$3=3,0.15,0.2))),0.2))))</f>
        <v>0.1</v>
      </c>
      <c r="P25" s="16">
        <f>IF($B$3&lt;&gt;"",IF($B$3=0,0,IF($B$3="","",IF('4. Purchased Energy Rates'!$B$4="Section 11 ECB",IF($B$3=1,0,IF($B$3=2,2.5,IF($B$3=3,3.75,5))),5))))</f>
        <v>2.5</v>
      </c>
      <c r="Q25" s="13">
        <f>O25*E25</f>
        <v>0</v>
      </c>
      <c r="R25" s="13">
        <f>H25*P25</f>
        <v>0</v>
      </c>
      <c r="S25" s="13"/>
      <c r="T25" s="13"/>
      <c r="U25" s="13"/>
      <c r="V25" s="13"/>
      <c r="W25" s="13"/>
    </row>
    <row r="26" spans="1:23" ht="34.15" customHeight="1" x14ac:dyDescent="0.25">
      <c r="A26" s="506"/>
      <c r="B26" s="29" t="s">
        <v>328</v>
      </c>
      <c r="C26" s="149"/>
      <c r="D26" s="30" t="s">
        <v>423</v>
      </c>
      <c r="E26" s="148"/>
      <c r="F26" s="31"/>
      <c r="G26" s="32" t="s">
        <v>83</v>
      </c>
      <c r="H26" s="148"/>
      <c r="I26" s="148"/>
      <c r="J26" s="91" t="str">
        <f>IF(I26="","",IF($B$3&lt;&gt;"",IF($B$3=0,0,270*C26+90*(E26-C26)),""))</f>
        <v/>
      </c>
      <c r="K26" s="518" t="str">
        <f>IF($B$3&lt;&gt;"",IF($B$3=0,"No allowance","Allowance = 270W per location plus 90W per additional ATM per location."),"")</f>
        <v>Allowance = 270W per location plus 90W per additional ATM per location.</v>
      </c>
      <c r="L26" s="519"/>
      <c r="N26" s="13"/>
      <c r="O26" s="13"/>
      <c r="P26" s="13"/>
      <c r="Q26" s="13"/>
      <c r="R26" s="13"/>
      <c r="S26" s="13"/>
      <c r="T26" s="13"/>
      <c r="U26" s="13"/>
      <c r="V26" s="13"/>
      <c r="W26" s="13"/>
    </row>
    <row r="27" spans="1:23" ht="23.25" x14ac:dyDescent="0.25">
      <c r="A27" s="506"/>
      <c r="B27" s="29" t="s">
        <v>329</v>
      </c>
      <c r="C27" s="504" t="s">
        <v>84</v>
      </c>
      <c r="D27" s="504"/>
      <c r="E27" s="504"/>
      <c r="F27" s="504"/>
      <c r="G27" s="504"/>
      <c r="H27" s="144"/>
      <c r="I27" s="144"/>
      <c r="J27" s="87" t="str">
        <f>IF(H27&lt;&gt;"",H27*K27,"")</f>
        <v/>
      </c>
      <c r="K27" s="92">
        <f>IF($B$3&lt;&gt;"",IF($B$3=0,0,IF($B3="","",IF('4. Purchased Energy Rates'!$B$4="Section 11 ECB",IF($B$3=1,0.75,IF($B$3=2,0.75,IF($B$3=3,0.75,0.75))),1.25))))</f>
        <v>0.75</v>
      </c>
      <c r="L27" s="89" t="str">
        <f t="shared" si="2"/>
        <v>W/FT</v>
      </c>
      <c r="N27" s="13"/>
      <c r="O27" s="13"/>
      <c r="P27" s="13"/>
      <c r="Q27" s="13"/>
      <c r="R27" s="13"/>
      <c r="S27" s="13"/>
      <c r="T27" s="13"/>
      <c r="U27" s="13"/>
      <c r="V27" s="13"/>
      <c r="W27" s="13"/>
    </row>
    <row r="28" spans="1:23" ht="23.25" x14ac:dyDescent="0.25">
      <c r="A28" s="506"/>
      <c r="B28" s="29" t="s">
        <v>330</v>
      </c>
      <c r="C28" s="504" t="s">
        <v>85</v>
      </c>
      <c r="D28" s="504"/>
      <c r="E28" s="504"/>
      <c r="F28" s="504"/>
      <c r="G28" s="504"/>
      <c r="H28" s="144"/>
      <c r="I28" s="144"/>
      <c r="J28" s="87" t="str">
        <f>IF(H28&lt;&gt;"",H28*K28,"")</f>
        <v/>
      </c>
      <c r="K28" s="92">
        <f>IF($B$3&lt;&gt;"",IF($B$3=0,0,IF($B3="","",IF('4. Purchased Energy Rates'!$B$4="Section 11 ECB",IF($B$3=1,0.5,IF($B$3=2,0.5,IF($B$3=3,0.5,0.5))),0.5))))</f>
        <v>0.5</v>
      </c>
      <c r="L28" s="89" t="str">
        <f t="shared" si="2"/>
        <v>W/FT</v>
      </c>
      <c r="N28" s="13"/>
      <c r="O28" s="13"/>
      <c r="P28" s="13"/>
      <c r="Q28" s="13"/>
      <c r="R28" s="13"/>
      <c r="S28" s="13"/>
      <c r="T28" s="13"/>
      <c r="U28" s="13"/>
      <c r="V28" s="13"/>
      <c r="W28" s="13"/>
    </row>
    <row r="29" spans="1:23" x14ac:dyDescent="0.25">
      <c r="A29" s="506"/>
      <c r="B29" s="29" t="s">
        <v>59</v>
      </c>
      <c r="C29" s="500" t="s">
        <v>86</v>
      </c>
      <c r="D29" s="501"/>
      <c r="E29" s="501"/>
      <c r="F29" s="501"/>
      <c r="G29" s="502"/>
      <c r="H29" s="144"/>
      <c r="I29" s="144"/>
      <c r="J29" s="87" t="str">
        <f>IF(H29&lt;&gt;"",H29*K29,"")</f>
        <v/>
      </c>
      <c r="K29" s="93">
        <f>IF($B$3&lt;&gt;"",IF($B$3=0,0,IF($B$3=1,400,IF($B$3=2,400,IF($B$3=3,400,400)))),"")</f>
        <v>400</v>
      </c>
      <c r="L29" s="89" t="s">
        <v>325</v>
      </c>
      <c r="N29" s="13"/>
      <c r="O29" s="13"/>
      <c r="P29" s="13"/>
      <c r="Q29" s="13"/>
      <c r="R29" s="13"/>
      <c r="S29" s="13"/>
      <c r="T29" s="13"/>
      <c r="U29" s="13"/>
      <c r="V29" s="13"/>
      <c r="W29" s="13"/>
    </row>
    <row r="30" spans="1:23" ht="45.75" x14ac:dyDescent="0.25">
      <c r="A30" s="506"/>
      <c r="B30" s="29" t="s">
        <v>87</v>
      </c>
      <c r="C30" s="500" t="s">
        <v>88</v>
      </c>
      <c r="D30" s="501"/>
      <c r="E30" s="501"/>
      <c r="F30" s="501"/>
      <c r="G30" s="502"/>
      <c r="H30" s="144"/>
      <c r="I30" s="144"/>
      <c r="J30" s="87" t="str">
        <f>IF(H30&lt;&gt;"",H30*K30,"")</f>
        <v/>
      </c>
      <c r="K30" s="93">
        <f>IF($B$3&lt;&gt;"",IF($B$3=0,0,IF($B$3=1,800,IF($B$3=2,800,IF($B$3=3,800,800)))),"")</f>
        <v>800</v>
      </c>
      <c r="L30" s="89" t="s">
        <v>326</v>
      </c>
      <c r="N30" s="13"/>
      <c r="O30" s="13"/>
      <c r="P30" s="13"/>
      <c r="Q30" s="13"/>
      <c r="R30" s="13"/>
      <c r="S30" s="13"/>
      <c r="T30" s="13"/>
      <c r="U30" s="13"/>
      <c r="V30" s="13"/>
      <c r="W30" s="13"/>
    </row>
    <row r="31" spans="1:23" x14ac:dyDescent="0.25">
      <c r="N31" s="13"/>
      <c r="O31" s="13"/>
      <c r="P31" s="13"/>
      <c r="Q31" s="13"/>
      <c r="R31" s="13"/>
      <c r="S31" s="13"/>
      <c r="T31" s="13"/>
      <c r="U31" s="13"/>
      <c r="V31" s="13"/>
      <c r="W31" s="13"/>
    </row>
  </sheetData>
  <sheetProtection password="C5B9" sheet="1" objects="1" scenarios="1"/>
  <mergeCells count="39">
    <mergeCell ref="B2:H2"/>
    <mergeCell ref="B8:B14"/>
    <mergeCell ref="B20:B21"/>
    <mergeCell ref="K26:L26"/>
    <mergeCell ref="C6:G6"/>
    <mergeCell ref="C11:G11"/>
    <mergeCell ref="C12:G12"/>
    <mergeCell ref="C18:G18"/>
    <mergeCell ref="B15:B18"/>
    <mergeCell ref="A22:A30"/>
    <mergeCell ref="B22:B25"/>
    <mergeCell ref="C22:D22"/>
    <mergeCell ref="F22:G22"/>
    <mergeCell ref="C23:D23"/>
    <mergeCell ref="F23:G23"/>
    <mergeCell ref="C27:G27"/>
    <mergeCell ref="C28:G28"/>
    <mergeCell ref="C29:G29"/>
    <mergeCell ref="C30:G30"/>
    <mergeCell ref="C24:D24"/>
    <mergeCell ref="F24:G24"/>
    <mergeCell ref="C25:D25"/>
    <mergeCell ref="F25:G25"/>
    <mergeCell ref="A7:A21"/>
    <mergeCell ref="C7:G7"/>
    <mergeCell ref="C8:G8"/>
    <mergeCell ref="C3:H3"/>
    <mergeCell ref="K6:L6"/>
    <mergeCell ref="C4:H4"/>
    <mergeCell ref="C20:G20"/>
    <mergeCell ref="C21:G21"/>
    <mergeCell ref="C13:G13"/>
    <mergeCell ref="C14:G14"/>
    <mergeCell ref="C15:G15"/>
    <mergeCell ref="C16:G16"/>
    <mergeCell ref="C17:G17"/>
    <mergeCell ref="C19:G19"/>
    <mergeCell ref="C9:G9"/>
    <mergeCell ref="C10:G10"/>
  </mergeCells>
  <dataValidations count="1">
    <dataValidation type="list" allowBlank="1" showInputMessage="1" showErrorMessage="1" sqref="B3" xr:uid="{00000000-0002-0000-2300-000000000000}">
      <formula1>LZ</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1">
    <tabColor rgb="FFFFC000"/>
  </sheetPr>
  <dimension ref="A1:H13"/>
  <sheetViews>
    <sheetView view="pageLayout" zoomScaleNormal="130" zoomScaleSheetLayoutView="130" workbookViewId="0">
      <selection activeCell="C27" sqref="C27:G27"/>
    </sheetView>
  </sheetViews>
  <sheetFormatPr defaultRowHeight="15" x14ac:dyDescent="0.25"/>
  <cols>
    <col min="3" max="3" width="19.85546875" customWidth="1"/>
    <col min="4" max="4" width="5.28515625" customWidth="1"/>
    <col min="5" max="5" width="12.28515625" customWidth="1"/>
    <col min="6" max="6" width="5.28515625" customWidth="1"/>
    <col min="7" max="7" width="8.7109375" customWidth="1"/>
    <col min="8" max="8" width="9.140625" customWidth="1"/>
  </cols>
  <sheetData>
    <row r="1" spans="1:8" ht="15" customHeight="1" x14ac:dyDescent="0.25"/>
    <row r="2" spans="1:8" ht="15.75" customHeight="1" x14ac:dyDescent="0.25">
      <c r="A2" s="53" t="s">
        <v>700</v>
      </c>
      <c r="B2" s="399" t="s">
        <v>331</v>
      </c>
      <c r="C2" s="399"/>
      <c r="D2" s="399"/>
      <c r="E2" s="399"/>
      <c r="F2" s="399"/>
      <c r="G2" s="399"/>
      <c r="H2" s="399"/>
    </row>
    <row r="3" spans="1:8" ht="32.25" customHeight="1" x14ac:dyDescent="0.25">
      <c r="A3" s="395" t="s">
        <v>0</v>
      </c>
      <c r="B3" s="407"/>
      <c r="C3" s="39" t="s">
        <v>122</v>
      </c>
      <c r="D3" s="39" t="s">
        <v>2</v>
      </c>
      <c r="E3" s="39" t="s">
        <v>332</v>
      </c>
      <c r="F3" s="39" t="s">
        <v>2</v>
      </c>
      <c r="G3" s="39" t="s">
        <v>158</v>
      </c>
      <c r="H3" s="39" t="s">
        <v>123</v>
      </c>
    </row>
    <row r="4" spans="1:8" ht="17.45" customHeight="1" x14ac:dyDescent="0.25">
      <c r="A4" s="397"/>
      <c r="B4" s="408"/>
      <c r="C4" s="411" t="s">
        <v>222</v>
      </c>
      <c r="D4" s="412"/>
      <c r="E4" s="39"/>
      <c r="F4" s="39"/>
      <c r="G4" s="39"/>
      <c r="H4" s="39"/>
    </row>
    <row r="5" spans="1:8" ht="14.45" customHeight="1" x14ac:dyDescent="0.25">
      <c r="A5" s="413" t="s">
        <v>92</v>
      </c>
      <c r="B5" s="414"/>
      <c r="C5" s="522" t="str">
        <f>IF(E5="","",IF($C$4="","",IF('4. Purchased Energy Rates'!$B$4="Section 11 ECB",E5,VLOOKUP(C4,Lists!$A$89:$B$121,2))))</f>
        <v/>
      </c>
      <c r="D5" s="523"/>
      <c r="E5" s="496"/>
      <c r="F5" s="496"/>
      <c r="G5" s="133"/>
      <c r="H5" s="133" t="s">
        <v>701</v>
      </c>
    </row>
    <row r="6" spans="1:8" ht="22.5" x14ac:dyDescent="0.25">
      <c r="A6" s="399" t="s">
        <v>93</v>
      </c>
      <c r="B6" s="399"/>
      <c r="C6" s="133"/>
      <c r="D6" s="136" t="s">
        <v>333</v>
      </c>
      <c r="E6" s="133"/>
      <c r="F6" s="136" t="s">
        <v>333</v>
      </c>
      <c r="G6" s="133"/>
      <c r="H6" s="133" t="s">
        <v>701</v>
      </c>
    </row>
    <row r="7" spans="1:8" x14ac:dyDescent="0.25">
      <c r="A7" s="399" t="s">
        <v>94</v>
      </c>
      <c r="B7" s="399"/>
      <c r="C7" s="133"/>
      <c r="D7" s="136" t="s">
        <v>334</v>
      </c>
      <c r="E7" s="133"/>
      <c r="F7" s="136" t="s">
        <v>338</v>
      </c>
      <c r="G7" s="133"/>
      <c r="H7" s="133" t="s">
        <v>701</v>
      </c>
    </row>
    <row r="8" spans="1:8" x14ac:dyDescent="0.25">
      <c r="A8" s="399" t="s">
        <v>95</v>
      </c>
      <c r="B8" s="399"/>
      <c r="C8" s="133"/>
      <c r="D8" s="37" t="s">
        <v>96</v>
      </c>
      <c r="E8" s="133"/>
      <c r="F8" s="52" t="s">
        <v>96</v>
      </c>
      <c r="G8" s="133"/>
      <c r="H8" s="133" t="s">
        <v>701</v>
      </c>
    </row>
    <row r="9" spans="1:8" x14ac:dyDescent="0.25">
      <c r="A9" s="399" t="s">
        <v>97</v>
      </c>
      <c r="B9" s="399"/>
      <c r="C9" s="133"/>
      <c r="D9" s="37" t="s">
        <v>30</v>
      </c>
      <c r="E9" s="133"/>
      <c r="F9" s="52" t="s">
        <v>30</v>
      </c>
      <c r="G9" s="133"/>
      <c r="H9" s="133" t="s">
        <v>701</v>
      </c>
    </row>
    <row r="10" spans="1:8" ht="16.5" customHeight="1" x14ac:dyDescent="0.25">
      <c r="A10" s="399" t="s">
        <v>98</v>
      </c>
      <c r="B10" s="399"/>
      <c r="C10" s="133"/>
      <c r="D10" s="37" t="s">
        <v>99</v>
      </c>
      <c r="E10" s="133"/>
      <c r="F10" s="52" t="s">
        <v>99</v>
      </c>
      <c r="G10" s="133"/>
      <c r="H10" s="133" t="s">
        <v>701</v>
      </c>
    </row>
    <row r="11" spans="1:8" ht="21.75" customHeight="1" x14ac:dyDescent="0.25">
      <c r="A11" s="399" t="s">
        <v>100</v>
      </c>
      <c r="B11" s="399"/>
      <c r="C11" s="150"/>
      <c r="D11" s="37" t="s">
        <v>33</v>
      </c>
      <c r="E11" s="150"/>
      <c r="F11" s="52" t="s">
        <v>33</v>
      </c>
      <c r="G11" s="133"/>
      <c r="H11" s="133" t="s">
        <v>701</v>
      </c>
    </row>
    <row r="12" spans="1:8" ht="24" customHeight="1" x14ac:dyDescent="0.25">
      <c r="A12" s="399" t="s">
        <v>101</v>
      </c>
      <c r="B12" s="399"/>
      <c r="C12" s="150"/>
      <c r="D12" s="37" t="s">
        <v>16</v>
      </c>
      <c r="E12" s="150"/>
      <c r="F12" s="52" t="s">
        <v>16</v>
      </c>
      <c r="G12" s="133"/>
      <c r="H12" s="133" t="s">
        <v>701</v>
      </c>
    </row>
    <row r="13" spans="1:8" ht="24" customHeight="1" x14ac:dyDescent="0.25">
      <c r="A13" s="399" t="s">
        <v>102</v>
      </c>
      <c r="B13" s="399"/>
      <c r="C13" s="520"/>
      <c r="D13" s="521"/>
      <c r="E13" s="520"/>
      <c r="F13" s="521"/>
      <c r="G13" s="133"/>
      <c r="H13" s="133" t="s">
        <v>701</v>
      </c>
    </row>
  </sheetData>
  <sheetProtection password="C5B9" sheet="1" objects="1" scenarios="1"/>
  <mergeCells count="16">
    <mergeCell ref="C4:D4"/>
    <mergeCell ref="A3:B4"/>
    <mergeCell ref="A9:B9"/>
    <mergeCell ref="E13:F13"/>
    <mergeCell ref="B2:H2"/>
    <mergeCell ref="A5:B5"/>
    <mergeCell ref="C5:D5"/>
    <mergeCell ref="A10:B10"/>
    <mergeCell ref="A11:B11"/>
    <mergeCell ref="E5:F5"/>
    <mergeCell ref="A6:B6"/>
    <mergeCell ref="C13:D13"/>
    <mergeCell ref="A12:B12"/>
    <mergeCell ref="A13:B13"/>
    <mergeCell ref="A7:B7"/>
    <mergeCell ref="A8:B8"/>
  </mergeCells>
  <pageMargins left="0.7" right="0.7" top="0.75" bottom="0.75" header="0.3" footer="0.3"/>
  <pageSetup orientation="portrait" r:id="rId1"/>
  <headerFooter>
    <oddHeader>&amp;L&amp;G&amp;C&amp;G</oddHeader>
    <oddFooter>&amp;RNovember 2016</oddFooter>
  </headerFooter>
  <colBreaks count="1" manualBreakCount="1">
    <brk id="8" max="1048575" man="1"/>
  </col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400-000000000000}">
          <x14:formula1>
            <xm:f>Lists!$P$4:$P$7</xm:f>
          </x14:formula1>
          <xm:sqref>F7 D7</xm:sqref>
        </x14:dataValidation>
        <x14:dataValidation type="list" allowBlank="1" showInputMessage="1" showErrorMessage="1" xr:uid="{00000000-0002-0000-2400-000001000000}">
          <x14:formula1>
            <xm:f>Lists!$P$1:$P$2</xm:f>
          </x14:formula1>
          <xm:sqref>F6 D6</xm:sqref>
        </x14:dataValidation>
        <x14:dataValidation type="list" allowBlank="1" showInputMessage="1" showErrorMessage="1" xr:uid="{00000000-0002-0000-2400-000002000000}">
          <x14:formula1>
            <xm:f>Lists!$A$89:$A$121</xm:f>
          </x14:formula1>
          <xm:sqref>C4:D4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dimension ref="A1:O30"/>
  <sheetViews>
    <sheetView workbookViewId="0">
      <selection activeCell="J31" sqref="J31"/>
    </sheetView>
  </sheetViews>
  <sheetFormatPr defaultRowHeight="15" x14ac:dyDescent="0.25"/>
  <cols>
    <col min="1" max="1" width="12.7109375" customWidth="1"/>
    <col min="7" max="7" width="9.7109375" customWidth="1"/>
  </cols>
  <sheetData>
    <row r="1" spans="1:15" x14ac:dyDescent="0.25">
      <c r="A1" s="338" t="s">
        <v>619</v>
      </c>
      <c r="B1" s="332" t="s">
        <v>620</v>
      </c>
      <c r="C1" s="332"/>
      <c r="D1" s="332"/>
      <c r="E1" s="332" t="s">
        <v>625</v>
      </c>
      <c r="F1" s="332"/>
      <c r="G1" s="332"/>
      <c r="H1" s="341" t="s">
        <v>680</v>
      </c>
      <c r="I1" s="341"/>
      <c r="J1" s="332" t="s">
        <v>627</v>
      </c>
      <c r="K1" s="332"/>
      <c r="L1" s="332"/>
      <c r="M1" s="332"/>
      <c r="N1" s="332"/>
      <c r="O1" s="332"/>
    </row>
    <row r="2" spans="1:15" x14ac:dyDescent="0.25">
      <c r="A2" s="338"/>
      <c r="B2" s="332" t="s">
        <v>621</v>
      </c>
      <c r="C2" s="332"/>
      <c r="D2" s="332"/>
      <c r="E2" s="332" t="s">
        <v>621</v>
      </c>
      <c r="F2" s="332"/>
      <c r="G2" s="332"/>
      <c r="H2" s="341"/>
      <c r="I2" s="341"/>
      <c r="J2" s="332" t="s">
        <v>621</v>
      </c>
      <c r="K2" s="332"/>
      <c r="L2" s="332"/>
      <c r="M2" s="332"/>
      <c r="N2" s="332"/>
      <c r="O2" s="332"/>
    </row>
    <row r="3" spans="1:15" x14ac:dyDescent="0.25">
      <c r="A3" s="338"/>
      <c r="B3" t="s">
        <v>622</v>
      </c>
      <c r="C3" t="s">
        <v>623</v>
      </c>
      <c r="D3" t="s">
        <v>624</v>
      </c>
      <c r="E3" t="s">
        <v>622</v>
      </c>
      <c r="F3" t="s">
        <v>623</v>
      </c>
      <c r="G3" t="s">
        <v>624</v>
      </c>
      <c r="H3" t="s">
        <v>681</v>
      </c>
      <c r="I3" t="s">
        <v>682</v>
      </c>
      <c r="J3" t="s">
        <v>622</v>
      </c>
      <c r="K3" t="s">
        <v>623</v>
      </c>
      <c r="L3" t="s">
        <v>624</v>
      </c>
    </row>
    <row r="4" spans="1:15" x14ac:dyDescent="0.25">
      <c r="A4" t="s">
        <v>629</v>
      </c>
      <c r="B4">
        <v>1.6</v>
      </c>
      <c r="C4">
        <v>1.6</v>
      </c>
      <c r="D4">
        <v>1.6</v>
      </c>
      <c r="E4">
        <v>5</v>
      </c>
      <c r="F4">
        <v>5</v>
      </c>
      <c r="G4">
        <v>5</v>
      </c>
      <c r="H4">
        <v>70</v>
      </c>
      <c r="I4">
        <v>78</v>
      </c>
      <c r="J4">
        <v>5</v>
      </c>
      <c r="K4">
        <v>5</v>
      </c>
      <c r="L4">
        <v>5</v>
      </c>
    </row>
    <row r="5" spans="1:15" x14ac:dyDescent="0.25">
      <c r="A5" t="s">
        <v>630</v>
      </c>
      <c r="B5">
        <v>1.6</v>
      </c>
      <c r="C5">
        <v>1.6</v>
      </c>
      <c r="D5">
        <v>1.6</v>
      </c>
      <c r="E5">
        <v>5</v>
      </c>
      <c r="F5">
        <v>5</v>
      </c>
      <c r="G5">
        <v>5</v>
      </c>
      <c r="H5">
        <v>70</v>
      </c>
      <c r="I5">
        <v>78</v>
      </c>
      <c r="J5">
        <v>5</v>
      </c>
      <c r="K5">
        <v>5</v>
      </c>
      <c r="L5">
        <v>5</v>
      </c>
    </row>
    <row r="6" spans="1:15" x14ac:dyDescent="0.25">
      <c r="A6" t="s">
        <v>631</v>
      </c>
      <c r="B6">
        <v>1.6</v>
      </c>
      <c r="C6">
        <v>1.6</v>
      </c>
      <c r="D6">
        <v>1.6</v>
      </c>
      <c r="E6">
        <v>5</v>
      </c>
      <c r="F6">
        <v>5</v>
      </c>
      <c r="G6">
        <v>5</v>
      </c>
      <c r="H6">
        <v>70</v>
      </c>
      <c r="I6">
        <v>78</v>
      </c>
      <c r="J6">
        <v>5</v>
      </c>
      <c r="K6">
        <v>5</v>
      </c>
      <c r="L6">
        <v>5</v>
      </c>
    </row>
    <row r="7" spans="1:15" x14ac:dyDescent="0.25">
      <c r="A7" t="s">
        <v>632</v>
      </c>
      <c r="B7">
        <v>1.6</v>
      </c>
      <c r="C7">
        <v>1.6</v>
      </c>
      <c r="D7">
        <v>1.6</v>
      </c>
      <c r="E7">
        <v>5</v>
      </c>
      <c r="F7">
        <v>5</v>
      </c>
      <c r="G7">
        <v>5</v>
      </c>
      <c r="H7">
        <v>70</v>
      </c>
      <c r="I7">
        <v>78</v>
      </c>
      <c r="J7">
        <v>5</v>
      </c>
      <c r="K7">
        <v>5</v>
      </c>
      <c r="L7">
        <v>5</v>
      </c>
    </row>
    <row r="8" spans="1:15" x14ac:dyDescent="0.25">
      <c r="A8" t="s">
        <v>633</v>
      </c>
      <c r="B8">
        <v>1.6</v>
      </c>
      <c r="C8">
        <v>1.6</v>
      </c>
      <c r="D8">
        <v>1.6</v>
      </c>
      <c r="E8">
        <v>5</v>
      </c>
      <c r="F8">
        <v>5</v>
      </c>
      <c r="G8">
        <v>5</v>
      </c>
      <c r="H8">
        <v>70</v>
      </c>
      <c r="I8">
        <v>78</v>
      </c>
      <c r="J8">
        <v>5</v>
      </c>
      <c r="K8">
        <v>5</v>
      </c>
      <c r="L8">
        <v>5</v>
      </c>
    </row>
    <row r="9" spans="1:15" x14ac:dyDescent="0.25">
      <c r="A9" t="s">
        <v>634</v>
      </c>
      <c r="B9">
        <v>1.6</v>
      </c>
      <c r="C9">
        <v>1.6</v>
      </c>
      <c r="D9">
        <v>1.6</v>
      </c>
      <c r="E9">
        <v>5</v>
      </c>
      <c r="F9">
        <v>5</v>
      </c>
      <c r="G9">
        <v>5</v>
      </c>
      <c r="H9">
        <v>70</v>
      </c>
      <c r="I9">
        <v>78</v>
      </c>
      <c r="J9">
        <v>5</v>
      </c>
      <c r="K9">
        <v>5</v>
      </c>
      <c r="L9">
        <v>5</v>
      </c>
    </row>
    <row r="10" spans="1:15" x14ac:dyDescent="0.25">
      <c r="A10" t="s">
        <v>635</v>
      </c>
      <c r="B10">
        <v>7.7</v>
      </c>
      <c r="C10">
        <v>7.7</v>
      </c>
      <c r="D10">
        <v>7.7</v>
      </c>
      <c r="E10">
        <v>5</v>
      </c>
      <c r="F10">
        <v>5</v>
      </c>
      <c r="G10">
        <v>5</v>
      </c>
      <c r="H10">
        <v>72</v>
      </c>
      <c r="I10">
        <v>78</v>
      </c>
      <c r="J10">
        <v>30</v>
      </c>
      <c r="K10">
        <v>30</v>
      </c>
      <c r="L10">
        <v>30</v>
      </c>
    </row>
    <row r="11" spans="1:15" x14ac:dyDescent="0.25">
      <c r="A11" t="s">
        <v>636</v>
      </c>
      <c r="B11">
        <v>14</v>
      </c>
      <c r="C11">
        <v>14</v>
      </c>
      <c r="D11">
        <v>14</v>
      </c>
      <c r="E11">
        <v>5</v>
      </c>
      <c r="F11">
        <v>5</v>
      </c>
      <c r="G11">
        <v>5</v>
      </c>
      <c r="H11">
        <v>72</v>
      </c>
      <c r="I11">
        <v>78</v>
      </c>
      <c r="J11">
        <v>50</v>
      </c>
      <c r="K11">
        <v>50</v>
      </c>
      <c r="L11">
        <v>50</v>
      </c>
    </row>
    <row r="12" spans="1:15" x14ac:dyDescent="0.25">
      <c r="A12" t="s">
        <v>637</v>
      </c>
      <c r="B12">
        <v>14</v>
      </c>
      <c r="C12">
        <v>14</v>
      </c>
      <c r="D12">
        <v>14</v>
      </c>
      <c r="E12">
        <v>50</v>
      </c>
      <c r="F12">
        <v>50</v>
      </c>
      <c r="G12">
        <v>50</v>
      </c>
      <c r="H12">
        <v>72</v>
      </c>
      <c r="I12">
        <v>78</v>
      </c>
      <c r="J12">
        <v>40</v>
      </c>
      <c r="K12">
        <v>40</v>
      </c>
      <c r="L12">
        <v>40</v>
      </c>
    </row>
    <row r="13" spans="1:15" x14ac:dyDescent="0.25">
      <c r="A13" t="s">
        <v>638</v>
      </c>
      <c r="B13">
        <v>10.8</v>
      </c>
      <c r="C13">
        <v>10.8</v>
      </c>
      <c r="D13">
        <v>10.8</v>
      </c>
      <c r="E13">
        <v>50</v>
      </c>
      <c r="F13">
        <v>50</v>
      </c>
      <c r="G13">
        <v>50</v>
      </c>
      <c r="H13">
        <v>72</v>
      </c>
      <c r="I13">
        <v>80</v>
      </c>
      <c r="J13">
        <v>30</v>
      </c>
      <c r="K13">
        <v>30</v>
      </c>
      <c r="L13">
        <v>30</v>
      </c>
    </row>
    <row r="14" spans="1:15" x14ac:dyDescent="0.25">
      <c r="A14" t="s">
        <v>639</v>
      </c>
      <c r="B14">
        <v>10.8</v>
      </c>
      <c r="C14">
        <v>10.8</v>
      </c>
      <c r="D14">
        <v>10.8</v>
      </c>
      <c r="E14">
        <v>50</v>
      </c>
      <c r="F14">
        <v>50</v>
      </c>
      <c r="G14">
        <v>50</v>
      </c>
      <c r="H14">
        <v>72</v>
      </c>
      <c r="I14">
        <v>80</v>
      </c>
      <c r="J14">
        <v>30</v>
      </c>
      <c r="K14">
        <v>30</v>
      </c>
      <c r="L14">
        <v>30</v>
      </c>
    </row>
    <row r="15" spans="1:15" x14ac:dyDescent="0.25">
      <c r="A15" t="s">
        <v>640</v>
      </c>
      <c r="B15">
        <v>10.8</v>
      </c>
      <c r="C15">
        <v>10.8</v>
      </c>
      <c r="D15">
        <v>10.8</v>
      </c>
      <c r="E15">
        <v>50</v>
      </c>
      <c r="F15">
        <v>50</v>
      </c>
      <c r="G15">
        <v>50</v>
      </c>
      <c r="H15">
        <v>72</v>
      </c>
      <c r="I15">
        <v>80</v>
      </c>
      <c r="J15">
        <v>35</v>
      </c>
      <c r="K15">
        <v>35</v>
      </c>
      <c r="L15">
        <v>35</v>
      </c>
    </row>
    <row r="16" spans="1:15" x14ac:dyDescent="0.25">
      <c r="A16" t="s">
        <v>641</v>
      </c>
      <c r="B16">
        <v>7.7</v>
      </c>
      <c r="C16">
        <v>7.7</v>
      </c>
      <c r="D16">
        <v>7.7</v>
      </c>
      <c r="E16">
        <v>30</v>
      </c>
      <c r="F16">
        <v>30</v>
      </c>
      <c r="G16">
        <v>30</v>
      </c>
      <c r="H16">
        <v>72</v>
      </c>
      <c r="I16">
        <v>80</v>
      </c>
      <c r="J16">
        <v>40</v>
      </c>
      <c r="K16">
        <v>40</v>
      </c>
      <c r="L16">
        <v>40</v>
      </c>
    </row>
    <row r="17" spans="1:12" x14ac:dyDescent="0.25">
      <c r="A17" t="s">
        <v>642</v>
      </c>
      <c r="B17">
        <v>7.7</v>
      </c>
      <c r="C17">
        <v>7.7</v>
      </c>
      <c r="D17">
        <v>7.7</v>
      </c>
      <c r="E17">
        <v>50</v>
      </c>
      <c r="F17">
        <v>50</v>
      </c>
      <c r="G17">
        <v>50</v>
      </c>
      <c r="H17">
        <v>72</v>
      </c>
      <c r="I17">
        <v>80</v>
      </c>
      <c r="J17">
        <v>35</v>
      </c>
      <c r="K17">
        <v>35</v>
      </c>
      <c r="L17">
        <v>35</v>
      </c>
    </row>
    <row r="18" spans="1:12" x14ac:dyDescent="0.25">
      <c r="A18" t="s">
        <v>643</v>
      </c>
      <c r="B18">
        <v>7.7</v>
      </c>
      <c r="C18">
        <v>7.7</v>
      </c>
      <c r="D18">
        <v>7.7</v>
      </c>
      <c r="E18">
        <v>50</v>
      </c>
      <c r="F18">
        <v>50</v>
      </c>
      <c r="G18">
        <v>50</v>
      </c>
      <c r="H18">
        <v>72</v>
      </c>
      <c r="I18">
        <v>80</v>
      </c>
      <c r="J18">
        <v>35</v>
      </c>
      <c r="K18">
        <v>35</v>
      </c>
      <c r="L18">
        <v>35</v>
      </c>
    </row>
    <row r="19" spans="1:12" x14ac:dyDescent="0.25">
      <c r="A19" t="s">
        <v>644</v>
      </c>
      <c r="B19">
        <v>7.7</v>
      </c>
      <c r="C19">
        <v>7.7</v>
      </c>
      <c r="D19">
        <v>7.7</v>
      </c>
      <c r="E19">
        <v>50</v>
      </c>
      <c r="F19">
        <v>50</v>
      </c>
      <c r="G19">
        <v>50</v>
      </c>
      <c r="H19">
        <v>72</v>
      </c>
      <c r="I19">
        <v>78</v>
      </c>
      <c r="J19">
        <v>30</v>
      </c>
      <c r="K19">
        <v>30</v>
      </c>
      <c r="L19">
        <v>30</v>
      </c>
    </row>
    <row r="20" spans="1:12" x14ac:dyDescent="0.25">
      <c r="A20" t="s">
        <v>645</v>
      </c>
      <c r="B20">
        <v>7.7</v>
      </c>
      <c r="C20">
        <v>7.7</v>
      </c>
      <c r="D20">
        <v>7.7</v>
      </c>
      <c r="E20">
        <v>50</v>
      </c>
      <c r="F20">
        <v>50</v>
      </c>
      <c r="G20">
        <v>50</v>
      </c>
      <c r="H20">
        <v>72</v>
      </c>
      <c r="I20">
        <v>78</v>
      </c>
      <c r="J20">
        <v>30</v>
      </c>
      <c r="K20">
        <v>30</v>
      </c>
      <c r="L20">
        <v>30</v>
      </c>
    </row>
    <row r="21" spans="1:12" x14ac:dyDescent="0.25">
      <c r="A21" t="s">
        <v>646</v>
      </c>
      <c r="B21">
        <v>10.8</v>
      </c>
      <c r="C21">
        <v>10.8</v>
      </c>
      <c r="D21">
        <v>10.8</v>
      </c>
      <c r="E21">
        <v>50</v>
      </c>
      <c r="F21">
        <v>50</v>
      </c>
      <c r="G21">
        <v>50</v>
      </c>
      <c r="H21">
        <v>72</v>
      </c>
      <c r="I21">
        <v>78</v>
      </c>
      <c r="J21">
        <v>50</v>
      </c>
      <c r="K21">
        <v>50</v>
      </c>
      <c r="L21">
        <v>50</v>
      </c>
    </row>
    <row r="22" spans="1:12" x14ac:dyDescent="0.25">
      <c r="A22" t="s">
        <v>647</v>
      </c>
      <c r="B22">
        <v>21.7</v>
      </c>
      <c r="C22">
        <v>21.7</v>
      </c>
      <c r="D22">
        <v>21.7</v>
      </c>
      <c r="E22">
        <v>35</v>
      </c>
      <c r="F22">
        <v>35</v>
      </c>
      <c r="G22">
        <v>35</v>
      </c>
      <c r="H22">
        <v>72</v>
      </c>
      <c r="I22">
        <v>78</v>
      </c>
      <c r="J22">
        <v>50</v>
      </c>
      <c r="K22">
        <v>50</v>
      </c>
      <c r="L22">
        <v>50</v>
      </c>
    </row>
    <row r="23" spans="1:12" x14ac:dyDescent="0.25">
      <c r="A23" t="s">
        <v>648</v>
      </c>
      <c r="B23">
        <v>21.7</v>
      </c>
      <c r="C23">
        <v>21.7</v>
      </c>
      <c r="D23">
        <v>21.7</v>
      </c>
      <c r="E23">
        <v>5</v>
      </c>
      <c r="F23">
        <v>5</v>
      </c>
      <c r="G23">
        <v>5</v>
      </c>
      <c r="H23">
        <v>72</v>
      </c>
      <c r="I23">
        <v>78</v>
      </c>
      <c r="J23">
        <v>40</v>
      </c>
      <c r="K23">
        <v>40</v>
      </c>
      <c r="L23">
        <v>40</v>
      </c>
    </row>
    <row r="24" spans="1:12" x14ac:dyDescent="0.25">
      <c r="A24" t="s">
        <v>649</v>
      </c>
      <c r="B24">
        <v>21.7</v>
      </c>
      <c r="C24">
        <v>21.7</v>
      </c>
      <c r="D24">
        <v>21.7</v>
      </c>
      <c r="E24">
        <v>5</v>
      </c>
      <c r="F24">
        <v>5</v>
      </c>
      <c r="G24">
        <v>5</v>
      </c>
      <c r="H24">
        <v>72</v>
      </c>
      <c r="I24">
        <v>78</v>
      </c>
      <c r="J24">
        <v>35</v>
      </c>
      <c r="K24">
        <v>35</v>
      </c>
      <c r="L24">
        <v>35</v>
      </c>
    </row>
    <row r="25" spans="1:12" x14ac:dyDescent="0.25">
      <c r="A25" t="s">
        <v>650</v>
      </c>
      <c r="B25">
        <v>21.7</v>
      </c>
      <c r="C25">
        <v>21.7</v>
      </c>
      <c r="D25">
        <v>21.7</v>
      </c>
      <c r="E25">
        <v>5</v>
      </c>
      <c r="F25">
        <v>5</v>
      </c>
      <c r="G25">
        <v>5</v>
      </c>
      <c r="H25">
        <v>72</v>
      </c>
      <c r="I25">
        <v>78</v>
      </c>
      <c r="J25">
        <v>45</v>
      </c>
      <c r="K25">
        <v>45</v>
      </c>
      <c r="L25">
        <v>45</v>
      </c>
    </row>
    <row r="26" spans="1:12" x14ac:dyDescent="0.25">
      <c r="A26" t="s">
        <v>651</v>
      </c>
      <c r="B26">
        <v>18.600000000000001</v>
      </c>
      <c r="C26">
        <v>18.600000000000001</v>
      </c>
      <c r="D26">
        <v>18.600000000000001</v>
      </c>
      <c r="E26">
        <v>5</v>
      </c>
      <c r="F26">
        <v>5</v>
      </c>
      <c r="G26">
        <v>5</v>
      </c>
      <c r="H26">
        <v>72</v>
      </c>
      <c r="I26">
        <v>78</v>
      </c>
      <c r="J26">
        <v>30</v>
      </c>
      <c r="K26">
        <v>30</v>
      </c>
      <c r="L26">
        <v>30</v>
      </c>
    </row>
    <row r="27" spans="1:12" x14ac:dyDescent="0.25">
      <c r="A27" t="s">
        <v>652</v>
      </c>
      <c r="B27">
        <v>1.6</v>
      </c>
      <c r="C27">
        <v>1.6</v>
      </c>
      <c r="D27">
        <v>1.6</v>
      </c>
      <c r="E27">
        <v>5</v>
      </c>
      <c r="F27">
        <v>5</v>
      </c>
      <c r="G27">
        <v>5</v>
      </c>
      <c r="H27">
        <v>70</v>
      </c>
      <c r="I27">
        <v>78</v>
      </c>
      <c r="J27">
        <v>5</v>
      </c>
      <c r="K27">
        <v>5</v>
      </c>
      <c r="L27">
        <v>5</v>
      </c>
    </row>
    <row r="28" spans="1:12" x14ac:dyDescent="0.25">
      <c r="A28" t="s">
        <v>659</v>
      </c>
      <c r="B28">
        <f>SUM(B4:B27)</f>
        <v>233.99999999999994</v>
      </c>
      <c r="C28">
        <f t="shared" ref="C28:L28" si="0">SUM(C4:C27)</f>
        <v>233.99999999999994</v>
      </c>
      <c r="D28">
        <f t="shared" si="0"/>
        <v>233.99999999999994</v>
      </c>
      <c r="E28">
        <f>SUM(E4:E27)</f>
        <v>580</v>
      </c>
      <c r="F28">
        <f t="shared" ref="F28" si="1">SUM(F4:F27)</f>
        <v>580</v>
      </c>
      <c r="G28">
        <f t="shared" ref="G28" si="2">SUM(G4:G27)</f>
        <v>580</v>
      </c>
      <c r="J28">
        <f t="shared" si="0"/>
        <v>670</v>
      </c>
      <c r="K28">
        <f t="shared" si="0"/>
        <v>670</v>
      </c>
      <c r="L28">
        <f t="shared" si="0"/>
        <v>670</v>
      </c>
    </row>
    <row r="29" spans="1:12" x14ac:dyDescent="0.25">
      <c r="A29" t="s">
        <v>660</v>
      </c>
      <c r="B29">
        <f>((B28/100)*5+C28/100+D28/100)</f>
        <v>16.379999999999995</v>
      </c>
      <c r="E29">
        <f>((E28/100)*5+F28/100+G28/100)</f>
        <v>40.599999999999994</v>
      </c>
      <c r="J29">
        <f t="shared" ref="J29" si="3">((J28/100)*5+K28/100+L28/100)</f>
        <v>46.900000000000006</v>
      </c>
    </row>
    <row r="30" spans="1:12" x14ac:dyDescent="0.25">
      <c r="A30" t="s">
        <v>661</v>
      </c>
      <c r="B30">
        <f>B29*52.14</f>
        <v>854.05319999999972</v>
      </c>
      <c r="E30">
        <f>E29*52.14</f>
        <v>2116.8839999999996</v>
      </c>
      <c r="J30">
        <f t="shared" ref="J30" si="4">J29*52.14</f>
        <v>2445.3660000000004</v>
      </c>
    </row>
  </sheetData>
  <mergeCells count="10">
    <mergeCell ref="M1:O1"/>
    <mergeCell ref="B2:D2"/>
    <mergeCell ref="E2:G2"/>
    <mergeCell ref="J2:L2"/>
    <mergeCell ref="M2:O2"/>
    <mergeCell ref="A1:A3"/>
    <mergeCell ref="B1:D1"/>
    <mergeCell ref="E1:G1"/>
    <mergeCell ref="H1:I2"/>
    <mergeCell ref="J1:L1"/>
  </mergeCells>
  <dataValidations count="1">
    <dataValidation type="decimal" errorStyle="warning" allowBlank="1" showErrorMessage="1" error="Enter a percentage value between 0% and 100%" sqref="E4:G27" xr:uid="{00000000-0002-0000-0300-000000000000}">
      <formula1>0</formula1>
      <formula2>1</formula2>
    </dataValidation>
  </dataValidation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7">
    <tabColor rgb="FFFFC000"/>
  </sheetPr>
  <dimension ref="A2:J34"/>
  <sheetViews>
    <sheetView zoomScale="85" zoomScaleNormal="85" zoomScaleSheetLayoutView="85" workbookViewId="0">
      <selection activeCell="C27" sqref="C27:G27"/>
    </sheetView>
  </sheetViews>
  <sheetFormatPr defaultRowHeight="15" x14ac:dyDescent="0.25"/>
  <cols>
    <col min="3" max="3" width="28.7109375" customWidth="1"/>
    <col min="5" max="5" width="7.42578125" customWidth="1"/>
    <col min="7" max="7" width="14.42578125" customWidth="1"/>
    <col min="8" max="8" width="6.85546875" customWidth="1"/>
    <col min="9" max="9" width="11.7109375" customWidth="1"/>
    <col min="10" max="10" width="12.140625" customWidth="1"/>
  </cols>
  <sheetData>
    <row r="2" spans="1:10" ht="15.75" customHeight="1" x14ac:dyDescent="0.25">
      <c r="A2" s="429" t="s">
        <v>89</v>
      </c>
      <c r="B2" s="430"/>
      <c r="C2" s="430"/>
      <c r="D2" s="430"/>
      <c r="E2" s="430"/>
      <c r="F2" s="430"/>
      <c r="G2" s="430"/>
      <c r="H2" s="430"/>
      <c r="I2" s="430"/>
      <c r="J2" s="431"/>
    </row>
    <row r="3" spans="1:10" ht="25.5" customHeight="1" x14ac:dyDescent="0.25">
      <c r="A3" s="432"/>
      <c r="B3" s="525"/>
      <c r="C3" s="434" t="s">
        <v>374</v>
      </c>
      <c r="D3" s="524"/>
      <c r="E3" s="435"/>
      <c r="F3" s="434" t="s">
        <v>375</v>
      </c>
      <c r="G3" s="524"/>
      <c r="H3" s="524"/>
      <c r="I3" s="524"/>
      <c r="J3" s="435"/>
    </row>
    <row r="4" spans="1:10" ht="25.5" customHeight="1" x14ac:dyDescent="0.25">
      <c r="A4" s="433"/>
      <c r="B4" s="526"/>
      <c r="C4" s="402" t="s">
        <v>430</v>
      </c>
      <c r="D4" s="404"/>
      <c r="E4" s="37" t="s">
        <v>2</v>
      </c>
      <c r="F4" s="402" t="s">
        <v>430</v>
      </c>
      <c r="G4" s="404"/>
      <c r="H4" s="37" t="s">
        <v>2</v>
      </c>
      <c r="I4" s="39" t="s">
        <v>21</v>
      </c>
      <c r="J4" s="37" t="s">
        <v>123</v>
      </c>
    </row>
    <row r="5" spans="1:10" ht="15" customHeight="1" x14ac:dyDescent="0.25">
      <c r="A5" s="395" t="s">
        <v>350</v>
      </c>
      <c r="B5" s="407"/>
      <c r="C5" s="425" t="s">
        <v>150</v>
      </c>
      <c r="D5" s="541"/>
      <c r="E5" s="426"/>
      <c r="F5" s="532"/>
      <c r="G5" s="533"/>
      <c r="H5" s="534"/>
      <c r="I5" s="542"/>
      <c r="J5" s="542"/>
    </row>
    <row r="6" spans="1:10" ht="14.45" customHeight="1" x14ac:dyDescent="0.25">
      <c r="A6" s="419"/>
      <c r="B6" s="531"/>
      <c r="C6" s="528" t="str">
        <f>IF($C5="","",IF('4. Purchased Energy Rates'!$B$4="Appendix G PRM",VLOOKUP($C$5,Lists!A67:C75,2),"SELECT SYSTEM FROM DROP DOWN LIST IN CELL BELOW"))</f>
        <v>SELECT SYSTEM FROM DROP DOWN LIST IN CELL BELOW</v>
      </c>
      <c r="D6" s="529"/>
      <c r="E6" s="530"/>
      <c r="F6" s="535"/>
      <c r="G6" s="536"/>
      <c r="H6" s="537"/>
      <c r="I6" s="543"/>
      <c r="J6" s="543"/>
    </row>
    <row r="7" spans="1:10" x14ac:dyDescent="0.25">
      <c r="A7" s="397"/>
      <c r="B7" s="408"/>
      <c r="C7" s="425"/>
      <c r="D7" s="541"/>
      <c r="E7" s="426"/>
      <c r="F7" s="538"/>
      <c r="G7" s="539"/>
      <c r="H7" s="540"/>
      <c r="I7" s="544"/>
      <c r="J7" s="544"/>
    </row>
    <row r="8" spans="1:10" ht="24" customHeight="1" x14ac:dyDescent="0.25">
      <c r="A8" s="399" t="s">
        <v>3</v>
      </c>
      <c r="B8" s="399"/>
      <c r="C8" s="496"/>
      <c r="D8" s="496"/>
      <c r="E8" s="496"/>
      <c r="F8" s="496"/>
      <c r="G8" s="496"/>
      <c r="H8" s="496"/>
      <c r="I8" s="133"/>
      <c r="J8" s="133"/>
    </row>
    <row r="9" spans="1:10" ht="26.25" customHeight="1" x14ac:dyDescent="0.25">
      <c r="A9" s="399" t="s">
        <v>351</v>
      </c>
      <c r="B9" s="399"/>
      <c r="C9" s="496"/>
      <c r="D9" s="496"/>
      <c r="E9" s="496"/>
      <c r="F9" s="496"/>
      <c r="G9" s="496"/>
      <c r="H9" s="496"/>
      <c r="I9" s="133"/>
      <c r="J9" s="133"/>
    </row>
    <row r="10" spans="1:10" ht="24.75" customHeight="1" x14ac:dyDescent="0.25">
      <c r="A10" s="399" t="s">
        <v>4</v>
      </c>
      <c r="B10" s="399"/>
      <c r="C10" s="496"/>
      <c r="D10" s="496"/>
      <c r="E10" s="116" t="s">
        <v>355</v>
      </c>
      <c r="F10" s="496"/>
      <c r="G10" s="496"/>
      <c r="H10" s="116" t="s">
        <v>355</v>
      </c>
      <c r="I10" s="133"/>
      <c r="J10" s="133"/>
    </row>
    <row r="11" spans="1:10" ht="36" customHeight="1" x14ac:dyDescent="0.25">
      <c r="A11" s="399" t="s">
        <v>5</v>
      </c>
      <c r="B11" s="399"/>
      <c r="C11" s="496"/>
      <c r="D11" s="496"/>
      <c r="E11" s="116" t="s">
        <v>355</v>
      </c>
      <c r="F11" s="496"/>
      <c r="G11" s="496"/>
      <c r="H11" s="116" t="s">
        <v>355</v>
      </c>
      <c r="I11" s="133"/>
      <c r="J11" s="133"/>
    </row>
    <row r="12" spans="1:10" ht="21.75" customHeight="1" x14ac:dyDescent="0.25">
      <c r="A12" s="395" t="s">
        <v>354</v>
      </c>
      <c r="B12" s="407"/>
      <c r="C12" s="532"/>
      <c r="D12" s="534"/>
      <c r="E12" s="151" t="s">
        <v>357</v>
      </c>
      <c r="F12" s="496"/>
      <c r="G12" s="496"/>
      <c r="H12" s="151" t="s">
        <v>358</v>
      </c>
      <c r="I12" s="133"/>
      <c r="J12" s="133"/>
    </row>
    <row r="13" spans="1:10" ht="24" customHeight="1" x14ac:dyDescent="0.25">
      <c r="A13" s="399" t="s">
        <v>352</v>
      </c>
      <c r="B13" s="399"/>
      <c r="C13" s="496"/>
      <c r="D13" s="496"/>
      <c r="E13" s="152" t="s">
        <v>362</v>
      </c>
      <c r="F13" s="496"/>
      <c r="G13" s="496"/>
      <c r="H13" s="152" t="s">
        <v>362</v>
      </c>
      <c r="I13" s="133"/>
      <c r="J13" s="133"/>
    </row>
    <row r="14" spans="1:10" ht="24" customHeight="1" x14ac:dyDescent="0.25">
      <c r="A14" s="399" t="s">
        <v>6</v>
      </c>
      <c r="B14" s="399"/>
      <c r="C14" s="496"/>
      <c r="D14" s="496"/>
      <c r="E14" s="116" t="s">
        <v>333</v>
      </c>
      <c r="F14" s="496"/>
      <c r="G14" s="496"/>
      <c r="H14" s="116" t="s">
        <v>333</v>
      </c>
      <c r="I14" s="133"/>
      <c r="J14" s="133"/>
    </row>
    <row r="15" spans="1:10" ht="36" customHeight="1" x14ac:dyDescent="0.25">
      <c r="A15" s="399" t="s">
        <v>7</v>
      </c>
      <c r="B15" s="399"/>
      <c r="C15" s="496"/>
      <c r="D15" s="496"/>
      <c r="E15" s="116" t="s">
        <v>337</v>
      </c>
      <c r="F15" s="496"/>
      <c r="G15" s="496"/>
      <c r="H15" s="116"/>
      <c r="I15" s="133"/>
      <c r="J15" s="133"/>
    </row>
    <row r="16" spans="1:10" ht="24" customHeight="1" x14ac:dyDescent="0.25">
      <c r="A16" s="399" t="s">
        <v>8</v>
      </c>
      <c r="B16" s="399"/>
      <c r="C16" s="496"/>
      <c r="D16" s="496"/>
      <c r="E16" s="116"/>
      <c r="F16" s="496"/>
      <c r="G16" s="496"/>
      <c r="H16" s="116"/>
      <c r="I16" s="133"/>
      <c r="J16" s="133"/>
    </row>
    <row r="17" spans="1:10" ht="14.45" customHeight="1" x14ac:dyDescent="0.25">
      <c r="A17" s="399" t="s">
        <v>9</v>
      </c>
      <c r="B17" s="399"/>
      <c r="C17" s="528" t="str">
        <f>IF($C$6="","",IF($C$8="","",IF('4. Purchased Energy Rates'!$B$4="Section 11 ECB",VLOOKUP('6i. HVAC Air-Side '!C7,Lists!A48:B58,2),VLOOKUP('6i. HVAC Air-Side '!C6,Lists!B78:C86,2))))</f>
        <v/>
      </c>
      <c r="D17" s="529"/>
      <c r="E17" s="530"/>
      <c r="F17" s="496"/>
      <c r="G17" s="496"/>
      <c r="H17" s="496"/>
      <c r="I17" s="133"/>
      <c r="J17" s="133"/>
    </row>
    <row r="18" spans="1:10" x14ac:dyDescent="0.25">
      <c r="A18" s="399" t="s">
        <v>10</v>
      </c>
      <c r="B18" s="399"/>
      <c r="C18" s="496"/>
      <c r="D18" s="496"/>
      <c r="E18" s="152" t="s">
        <v>11</v>
      </c>
      <c r="F18" s="496"/>
      <c r="G18" s="496"/>
      <c r="H18" s="152" t="s">
        <v>11</v>
      </c>
      <c r="I18" s="133"/>
      <c r="J18" s="133"/>
    </row>
    <row r="19" spans="1:10" x14ac:dyDescent="0.25">
      <c r="A19" s="399" t="s">
        <v>12</v>
      </c>
      <c r="B19" s="399"/>
      <c r="C19" s="496"/>
      <c r="D19" s="496"/>
      <c r="E19" s="152" t="s">
        <v>11</v>
      </c>
      <c r="F19" s="496"/>
      <c r="G19" s="496"/>
      <c r="H19" s="152" t="s">
        <v>11</v>
      </c>
      <c r="I19" s="133"/>
      <c r="J19" s="133"/>
    </row>
    <row r="20" spans="1:10" ht="24" customHeight="1" x14ac:dyDescent="0.25">
      <c r="A20" s="399" t="s">
        <v>13</v>
      </c>
      <c r="B20" s="399"/>
      <c r="C20" s="417"/>
      <c r="D20" s="417"/>
      <c r="E20" s="417"/>
      <c r="F20" s="417"/>
      <c r="G20" s="417"/>
      <c r="H20" s="417"/>
      <c r="I20" s="133"/>
      <c r="J20" s="133"/>
    </row>
    <row r="21" spans="1:10" x14ac:dyDescent="0.25">
      <c r="A21" s="390" t="s">
        <v>14</v>
      </c>
      <c r="B21" s="390"/>
      <c r="C21" s="496"/>
      <c r="D21" s="496"/>
      <c r="E21" s="133"/>
      <c r="F21" s="496"/>
      <c r="G21" s="496"/>
      <c r="H21" s="133"/>
      <c r="I21" s="133"/>
      <c r="J21" s="133"/>
    </row>
    <row r="22" spans="1:10" x14ac:dyDescent="0.25">
      <c r="A22" s="390"/>
      <c r="B22" s="390"/>
      <c r="C22" s="496"/>
      <c r="D22" s="496"/>
      <c r="E22" s="133"/>
      <c r="F22" s="496"/>
      <c r="G22" s="496"/>
      <c r="H22" s="133"/>
      <c r="I22" s="133"/>
      <c r="J22" s="133"/>
    </row>
    <row r="23" spans="1:10" x14ac:dyDescent="0.25">
      <c r="A23" s="390"/>
      <c r="B23" s="390"/>
      <c r="C23" s="496"/>
      <c r="D23" s="496"/>
      <c r="E23" s="133"/>
      <c r="F23" s="496"/>
      <c r="G23" s="496"/>
      <c r="H23" s="133"/>
      <c r="I23" s="133"/>
      <c r="J23" s="133"/>
    </row>
    <row r="24" spans="1:10" ht="27.75" customHeight="1" x14ac:dyDescent="0.25">
      <c r="A24" s="399" t="s">
        <v>22</v>
      </c>
      <c r="B24" s="399"/>
      <c r="C24" s="496"/>
      <c r="D24" s="496"/>
      <c r="E24" s="496"/>
      <c r="F24" s="496"/>
      <c r="G24" s="496"/>
      <c r="H24" s="496"/>
      <c r="I24" s="133"/>
      <c r="J24" s="133"/>
    </row>
    <row r="25" spans="1:10" ht="36" customHeight="1" x14ac:dyDescent="0.25">
      <c r="A25" s="399" t="s">
        <v>53</v>
      </c>
      <c r="B25" s="399"/>
      <c r="C25" s="496"/>
      <c r="D25" s="496"/>
      <c r="E25" s="496"/>
      <c r="F25" s="496"/>
      <c r="G25" s="496"/>
      <c r="H25" s="496"/>
      <c r="I25" s="133"/>
      <c r="J25" s="133"/>
    </row>
    <row r="26" spans="1:10" x14ac:dyDescent="0.25">
      <c r="A26" s="399" t="s">
        <v>15</v>
      </c>
      <c r="B26" s="399"/>
      <c r="C26" s="496"/>
      <c r="D26" s="496"/>
      <c r="E26" s="152" t="s">
        <v>16</v>
      </c>
      <c r="F26" s="496"/>
      <c r="G26" s="496"/>
      <c r="H26" s="152" t="s">
        <v>16</v>
      </c>
      <c r="I26" s="133"/>
      <c r="J26" s="133"/>
    </row>
    <row r="27" spans="1:10" x14ac:dyDescent="0.25">
      <c r="A27" s="399" t="s">
        <v>17</v>
      </c>
      <c r="B27" s="399"/>
      <c r="C27" s="496"/>
      <c r="D27" s="496"/>
      <c r="E27" s="152" t="s">
        <v>16</v>
      </c>
      <c r="F27" s="496"/>
      <c r="G27" s="496"/>
      <c r="H27" s="152" t="s">
        <v>16</v>
      </c>
      <c r="I27" s="133"/>
      <c r="J27" s="133"/>
    </row>
    <row r="28" spans="1:10" x14ac:dyDescent="0.25">
      <c r="A28" s="399" t="s">
        <v>18</v>
      </c>
      <c r="B28" s="399"/>
      <c r="C28" s="496"/>
      <c r="D28" s="496"/>
      <c r="E28" s="152" t="s">
        <v>16</v>
      </c>
      <c r="F28" s="496"/>
      <c r="G28" s="496"/>
      <c r="H28" s="152" t="s">
        <v>16</v>
      </c>
      <c r="I28" s="133"/>
      <c r="J28" s="133"/>
    </row>
    <row r="29" spans="1:10" x14ac:dyDescent="0.25">
      <c r="A29" s="399" t="s">
        <v>19</v>
      </c>
      <c r="B29" s="399"/>
      <c r="C29" s="496"/>
      <c r="D29" s="496"/>
      <c r="E29" s="152" t="s">
        <v>16</v>
      </c>
      <c r="F29" s="496"/>
      <c r="G29" s="496"/>
      <c r="H29" s="152" t="s">
        <v>16</v>
      </c>
      <c r="I29" s="133"/>
      <c r="J29" s="133"/>
    </row>
    <row r="30" spans="1:10" x14ac:dyDescent="0.25">
      <c r="A30" s="497" t="s">
        <v>20</v>
      </c>
      <c r="B30" s="497"/>
      <c r="C30" s="527"/>
      <c r="D30" s="527"/>
      <c r="E30" s="152" t="s">
        <v>16</v>
      </c>
      <c r="F30" s="527"/>
      <c r="G30" s="527"/>
      <c r="H30" s="152" t="s">
        <v>16</v>
      </c>
      <c r="I30" s="153"/>
      <c r="J30" s="153"/>
    </row>
    <row r="31" spans="1:10" x14ac:dyDescent="0.25">
      <c r="A31" s="402" t="s">
        <v>353</v>
      </c>
      <c r="B31" s="404"/>
      <c r="C31" s="496"/>
      <c r="D31" s="496"/>
      <c r="E31" s="496"/>
      <c r="F31" s="496"/>
      <c r="G31" s="496"/>
      <c r="H31" s="496"/>
      <c r="I31" s="133"/>
      <c r="J31" s="133"/>
    </row>
    <row r="32" spans="1:10" x14ac:dyDescent="0.25">
      <c r="A32" s="402" t="s">
        <v>353</v>
      </c>
      <c r="B32" s="404"/>
      <c r="C32" s="496"/>
      <c r="D32" s="496"/>
      <c r="E32" s="496"/>
      <c r="F32" s="496"/>
      <c r="G32" s="496"/>
      <c r="H32" s="496"/>
      <c r="I32" s="133"/>
      <c r="J32" s="133"/>
    </row>
    <row r="33" spans="1:10" x14ac:dyDescent="0.25">
      <c r="A33" s="402" t="s">
        <v>353</v>
      </c>
      <c r="B33" s="404"/>
      <c r="C33" s="496"/>
      <c r="D33" s="496"/>
      <c r="E33" s="496"/>
      <c r="F33" s="496"/>
      <c r="G33" s="496"/>
      <c r="H33" s="496"/>
      <c r="I33" s="133"/>
      <c r="J33" s="133"/>
    </row>
    <row r="34" spans="1:10" x14ac:dyDescent="0.25">
      <c r="A34" s="402" t="s">
        <v>353</v>
      </c>
      <c r="B34" s="404"/>
      <c r="C34" s="496"/>
      <c r="D34" s="496"/>
      <c r="E34" s="496"/>
      <c r="F34" s="496"/>
      <c r="G34" s="496"/>
      <c r="H34" s="496"/>
      <c r="I34" s="133"/>
      <c r="J34" s="133"/>
    </row>
  </sheetData>
  <sheetProtection password="C5B9" sheet="1" objects="1" scenarios="1"/>
  <dataConsolidate/>
  <mergeCells count="92">
    <mergeCell ref="A2:J2"/>
    <mergeCell ref="A13:B13"/>
    <mergeCell ref="C13:D13"/>
    <mergeCell ref="C3:E3"/>
    <mergeCell ref="C8:E8"/>
    <mergeCell ref="A8:B8"/>
    <mergeCell ref="A9:B9"/>
    <mergeCell ref="A10:B10"/>
    <mergeCell ref="A11:B11"/>
    <mergeCell ref="A12:B12"/>
    <mergeCell ref="C12:D12"/>
    <mergeCell ref="F12:G12"/>
    <mergeCell ref="F8:H8"/>
    <mergeCell ref="F13:G13"/>
    <mergeCell ref="I5:I7"/>
    <mergeCell ref="J5:J7"/>
    <mergeCell ref="A5:B7"/>
    <mergeCell ref="F5:H7"/>
    <mergeCell ref="C5:E5"/>
    <mergeCell ref="C7:E7"/>
    <mergeCell ref="C6:E6"/>
    <mergeCell ref="A14:B14"/>
    <mergeCell ref="C14:D14"/>
    <mergeCell ref="F14:G14"/>
    <mergeCell ref="A15:B15"/>
    <mergeCell ref="C15:D15"/>
    <mergeCell ref="F15:G15"/>
    <mergeCell ref="C9:E9"/>
    <mergeCell ref="F9:H9"/>
    <mergeCell ref="C10:D10"/>
    <mergeCell ref="F10:G10"/>
    <mergeCell ref="C11:D11"/>
    <mergeCell ref="F11:G11"/>
    <mergeCell ref="C23:D23"/>
    <mergeCell ref="F23:G23"/>
    <mergeCell ref="A18:B18"/>
    <mergeCell ref="C18:D18"/>
    <mergeCell ref="F18:G18"/>
    <mergeCell ref="A19:B19"/>
    <mergeCell ref="C19:D19"/>
    <mergeCell ref="F19:G19"/>
    <mergeCell ref="A20:B20"/>
    <mergeCell ref="C20:E20"/>
    <mergeCell ref="F20:H20"/>
    <mergeCell ref="A21:B23"/>
    <mergeCell ref="C21:D21"/>
    <mergeCell ref="F21:G21"/>
    <mergeCell ref="C22:D22"/>
    <mergeCell ref="F22:G22"/>
    <mergeCell ref="A16:B16"/>
    <mergeCell ref="C16:D16"/>
    <mergeCell ref="F16:G16"/>
    <mergeCell ref="A17:B17"/>
    <mergeCell ref="C17:E17"/>
    <mergeCell ref="F17:H17"/>
    <mergeCell ref="A26:B26"/>
    <mergeCell ref="C26:D26"/>
    <mergeCell ref="F26:G26"/>
    <mergeCell ref="A27:B27"/>
    <mergeCell ref="C27:D27"/>
    <mergeCell ref="F27:G27"/>
    <mergeCell ref="A24:B24"/>
    <mergeCell ref="C24:E24"/>
    <mergeCell ref="F24:H24"/>
    <mergeCell ref="A25:B25"/>
    <mergeCell ref="C25:E25"/>
    <mergeCell ref="F25:H25"/>
    <mergeCell ref="A33:B33"/>
    <mergeCell ref="A34:B34"/>
    <mergeCell ref="F4:G4"/>
    <mergeCell ref="C4:D4"/>
    <mergeCell ref="F3:J3"/>
    <mergeCell ref="A3:B4"/>
    <mergeCell ref="C33:E33"/>
    <mergeCell ref="F33:H33"/>
    <mergeCell ref="C34:E34"/>
    <mergeCell ref="F34:H34"/>
    <mergeCell ref="A30:B30"/>
    <mergeCell ref="C30:D30"/>
    <mergeCell ref="F30:G30"/>
    <mergeCell ref="C31:E31"/>
    <mergeCell ref="F31:H31"/>
    <mergeCell ref="C32:E32"/>
    <mergeCell ref="F32:H32"/>
    <mergeCell ref="A31:B31"/>
    <mergeCell ref="A32:B32"/>
    <mergeCell ref="A28:B28"/>
    <mergeCell ref="C28:D28"/>
    <mergeCell ref="F28:G28"/>
    <mergeCell ref="A29:B29"/>
    <mergeCell ref="C29:D29"/>
    <mergeCell ref="F29:G29"/>
  </mergeCells>
  <dataValidations count="2">
    <dataValidation type="list" allowBlank="1" showInputMessage="1" showErrorMessage="1" sqref="C20:H20" xr:uid="{00000000-0002-0000-2500-000000000000}">
      <formula1>Yes_No</formula1>
    </dataValidation>
    <dataValidation type="list" allowBlank="1" showInputMessage="1" showErrorMessage="1" sqref="H16" xr:uid="{00000000-0002-0000-2500-000001000000}">
      <formula1>$O$4:$O$10</formula1>
    </dataValidation>
  </dataValidations>
  <pageMargins left="0.7" right="0.7" top="0.75" bottom="0.75" header="0.3" footer="0.3"/>
  <pageSetup scale="76" orientation="portrait" r:id="rId1"/>
  <headerFooter>
    <oddHeader>&amp;L&amp;G&amp;C&amp;G</oddHeader>
    <oddFooter>&amp;RNovember 2016</oddFooter>
  </headerFooter>
  <colBreaks count="1" manualBreakCount="1">
    <brk id="10" max="1048575" man="1"/>
  </colBreaks>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2500-000002000000}">
          <x14:formula1>
            <xm:f>Lists!$Q$4:$Q$7</xm:f>
          </x14:formula1>
          <xm:sqref>E10:E11 H10:H11</xm:sqref>
        </x14:dataValidation>
        <x14:dataValidation type="list" allowBlank="1" showInputMessage="1" showErrorMessage="1" xr:uid="{00000000-0002-0000-2500-000003000000}">
          <x14:formula1>
            <xm:f>Lists!$R$4:$R$5</xm:f>
          </x14:formula1>
          <xm:sqref>H12 E12</xm:sqref>
        </x14:dataValidation>
        <x14:dataValidation type="list" allowBlank="1" showInputMessage="1" showErrorMessage="1" xr:uid="{00000000-0002-0000-2500-000004000000}">
          <x14:formula1>
            <xm:f>Lists!$P$1:$P$2</xm:f>
          </x14:formula1>
          <xm:sqref>H14 E14</xm:sqref>
        </x14:dataValidation>
        <x14:dataValidation type="list" allowBlank="1" showInputMessage="1" showErrorMessage="1" xr:uid="{00000000-0002-0000-2500-000005000000}">
          <x14:formula1>
            <xm:f>Lists!$S$4:$S$7</xm:f>
          </x14:formula1>
          <xm:sqref>H15 E15</xm:sqref>
        </x14:dataValidation>
        <x14:dataValidation type="list" allowBlank="1" showInputMessage="1" showErrorMessage="1" xr:uid="{00000000-0002-0000-2500-000006000000}">
          <x14:formula1>
            <xm:f>Lists!$S$4:$S$8</xm:f>
          </x14:formula1>
          <xm:sqref>E16</xm:sqref>
        </x14:dataValidation>
        <x14:dataValidation type="list" allowBlank="1" showInputMessage="1" showErrorMessage="1" promptTitle="Appendix G System Selection" prompt="Only select a system when Appendix G is used for compliance_x000a_" xr:uid="{00000000-0002-0000-2500-000007000000}">
          <x14:formula1>
            <xm:f>Lists!$A$67:$A$75</xm:f>
          </x14:formula1>
          <xm:sqref>C5:E5</xm:sqref>
        </x14:dataValidation>
        <x14:dataValidation type="list" allowBlank="1" showInputMessage="1" showErrorMessage="1" promptTitle="ECB System Selection" prompt="Only select a system with ECB compliance path is selected." xr:uid="{00000000-0002-0000-2500-000008000000}">
          <x14:formula1>
            <xm:f>Lists!$A$48:$A$58</xm:f>
          </x14:formula1>
          <xm:sqref>C7:E7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FFC000"/>
  </sheetPr>
  <dimension ref="A2:J34"/>
  <sheetViews>
    <sheetView zoomScale="85" zoomScaleNormal="85" zoomScaleSheetLayoutView="85" workbookViewId="0">
      <selection activeCell="C27" sqref="C27:G27"/>
    </sheetView>
  </sheetViews>
  <sheetFormatPr defaultRowHeight="15" x14ac:dyDescent="0.25"/>
  <cols>
    <col min="3" max="3" width="28.7109375" customWidth="1"/>
    <col min="5" max="5" width="7.42578125" customWidth="1"/>
    <col min="7" max="7" width="14.42578125" customWidth="1"/>
    <col min="8" max="8" width="6.85546875" customWidth="1"/>
    <col min="9" max="9" width="11.7109375" customWidth="1"/>
    <col min="10" max="10" width="12.140625" customWidth="1"/>
  </cols>
  <sheetData>
    <row r="2" spans="1:10" ht="15.75" customHeight="1" x14ac:dyDescent="0.25">
      <c r="A2" s="429" t="s">
        <v>89</v>
      </c>
      <c r="B2" s="430"/>
      <c r="C2" s="430"/>
      <c r="D2" s="430"/>
      <c r="E2" s="430"/>
      <c r="F2" s="430"/>
      <c r="G2" s="430"/>
      <c r="H2" s="430"/>
      <c r="I2" s="430"/>
      <c r="J2" s="431"/>
    </row>
    <row r="3" spans="1:10" ht="25.5" customHeight="1" x14ac:dyDescent="0.25">
      <c r="A3" s="432"/>
      <c r="B3" s="525"/>
      <c r="C3" s="434" t="s">
        <v>374</v>
      </c>
      <c r="D3" s="524"/>
      <c r="E3" s="435"/>
      <c r="F3" s="434" t="s">
        <v>375</v>
      </c>
      <c r="G3" s="524"/>
      <c r="H3" s="524"/>
      <c r="I3" s="524"/>
      <c r="J3" s="435"/>
    </row>
    <row r="4" spans="1:10" ht="25.5" customHeight="1" x14ac:dyDescent="0.25">
      <c r="A4" s="433"/>
      <c r="B4" s="526"/>
      <c r="C4" s="402" t="s">
        <v>430</v>
      </c>
      <c r="D4" s="404"/>
      <c r="E4" s="37" t="s">
        <v>2</v>
      </c>
      <c r="F4" s="402" t="s">
        <v>430</v>
      </c>
      <c r="G4" s="404"/>
      <c r="H4" s="37" t="s">
        <v>2</v>
      </c>
      <c r="I4" s="39" t="s">
        <v>21</v>
      </c>
      <c r="J4" s="37" t="s">
        <v>123</v>
      </c>
    </row>
    <row r="5" spans="1:10" ht="15" customHeight="1" x14ac:dyDescent="0.25">
      <c r="A5" s="395" t="s">
        <v>350</v>
      </c>
      <c r="B5" s="407"/>
      <c r="C5" s="425" t="s">
        <v>800</v>
      </c>
      <c r="D5" s="541"/>
      <c r="E5" s="426"/>
      <c r="F5" s="532"/>
      <c r="G5" s="533"/>
      <c r="H5" s="534"/>
      <c r="I5" s="542"/>
      <c r="J5" s="542"/>
    </row>
    <row r="6" spans="1:10" ht="14.45" customHeight="1" x14ac:dyDescent="0.25">
      <c r="A6" s="419"/>
      <c r="B6" s="531"/>
      <c r="C6" s="528" t="str">
        <f>IF($C5="","",IF('4. Purchased Energy Rates'!$B$4="Appendix G PRM",VLOOKUP($C$5,Lists!A67:C75,2),"SELECT SYSTEM FROM DROP DOWN LIST IN CELL BELOW"))</f>
        <v>SELECT SYSTEM FROM DROP DOWN LIST IN CELL BELOW</v>
      </c>
      <c r="D6" s="529"/>
      <c r="E6" s="530"/>
      <c r="F6" s="535"/>
      <c r="G6" s="536"/>
      <c r="H6" s="537"/>
      <c r="I6" s="543"/>
      <c r="J6" s="543"/>
    </row>
    <row r="7" spans="1:10" x14ac:dyDescent="0.25">
      <c r="A7" s="397"/>
      <c r="B7" s="408"/>
      <c r="C7" s="425" t="s">
        <v>593</v>
      </c>
      <c r="D7" s="541"/>
      <c r="E7" s="426"/>
      <c r="F7" s="538"/>
      <c r="G7" s="539"/>
      <c r="H7" s="540"/>
      <c r="I7" s="544"/>
      <c r="J7" s="544"/>
    </row>
    <row r="8" spans="1:10" ht="24" customHeight="1" x14ac:dyDescent="0.25">
      <c r="A8" s="399" t="s">
        <v>3</v>
      </c>
      <c r="B8" s="399"/>
      <c r="C8" s="496"/>
      <c r="D8" s="496"/>
      <c r="E8" s="496"/>
      <c r="F8" s="496"/>
      <c r="G8" s="496"/>
      <c r="H8" s="496"/>
      <c r="I8" s="133"/>
      <c r="J8" s="133"/>
    </row>
    <row r="9" spans="1:10" ht="26.25" customHeight="1" x14ac:dyDescent="0.25">
      <c r="A9" s="399" t="s">
        <v>351</v>
      </c>
      <c r="B9" s="399"/>
      <c r="C9" s="496"/>
      <c r="D9" s="496"/>
      <c r="E9" s="496"/>
      <c r="F9" s="496"/>
      <c r="G9" s="496"/>
      <c r="H9" s="496"/>
      <c r="I9" s="133"/>
      <c r="J9" s="133"/>
    </row>
    <row r="10" spans="1:10" ht="24.75" customHeight="1" x14ac:dyDescent="0.25">
      <c r="A10" s="399" t="s">
        <v>4</v>
      </c>
      <c r="B10" s="399"/>
      <c r="C10" s="496"/>
      <c r="D10" s="496"/>
      <c r="E10" s="116" t="s">
        <v>355</v>
      </c>
      <c r="F10" s="496"/>
      <c r="G10" s="496"/>
      <c r="H10" s="116" t="s">
        <v>355</v>
      </c>
      <c r="I10" s="133"/>
      <c r="J10" s="133"/>
    </row>
    <row r="11" spans="1:10" ht="36" customHeight="1" x14ac:dyDescent="0.25">
      <c r="A11" s="399" t="s">
        <v>5</v>
      </c>
      <c r="B11" s="399"/>
      <c r="C11" s="496"/>
      <c r="D11" s="496"/>
      <c r="E11" s="116" t="s">
        <v>355</v>
      </c>
      <c r="F11" s="496"/>
      <c r="G11" s="496"/>
      <c r="H11" s="116" t="s">
        <v>355</v>
      </c>
      <c r="I11" s="133"/>
      <c r="J11" s="133"/>
    </row>
    <row r="12" spans="1:10" ht="21.75" customHeight="1" x14ac:dyDescent="0.25">
      <c r="A12" s="395" t="s">
        <v>354</v>
      </c>
      <c r="B12" s="407"/>
      <c r="C12" s="532"/>
      <c r="D12" s="534"/>
      <c r="E12" s="151" t="s">
        <v>357</v>
      </c>
      <c r="F12" s="496"/>
      <c r="G12" s="496"/>
      <c r="H12" s="151" t="s">
        <v>358</v>
      </c>
      <c r="I12" s="133"/>
      <c r="J12" s="133"/>
    </row>
    <row r="13" spans="1:10" ht="24" customHeight="1" x14ac:dyDescent="0.25">
      <c r="A13" s="399" t="s">
        <v>352</v>
      </c>
      <c r="B13" s="399"/>
      <c r="C13" s="496"/>
      <c r="D13" s="496"/>
      <c r="E13" s="152" t="s">
        <v>362</v>
      </c>
      <c r="F13" s="496"/>
      <c r="G13" s="496"/>
      <c r="H13" s="152" t="s">
        <v>362</v>
      </c>
      <c r="I13" s="133"/>
      <c r="J13" s="133"/>
    </row>
    <row r="14" spans="1:10" ht="24" customHeight="1" x14ac:dyDescent="0.25">
      <c r="A14" s="399" t="s">
        <v>6</v>
      </c>
      <c r="B14" s="399"/>
      <c r="C14" s="496"/>
      <c r="D14" s="496"/>
      <c r="E14" s="116" t="s">
        <v>333</v>
      </c>
      <c r="F14" s="496"/>
      <c r="G14" s="496"/>
      <c r="H14" s="116" t="s">
        <v>333</v>
      </c>
      <c r="I14" s="133"/>
      <c r="J14" s="133"/>
    </row>
    <row r="15" spans="1:10" ht="36" customHeight="1" x14ac:dyDescent="0.25">
      <c r="A15" s="399" t="s">
        <v>7</v>
      </c>
      <c r="B15" s="399"/>
      <c r="C15" s="496"/>
      <c r="D15" s="496"/>
      <c r="E15" s="116" t="s">
        <v>337</v>
      </c>
      <c r="F15" s="496"/>
      <c r="G15" s="496"/>
      <c r="H15" s="116"/>
      <c r="I15" s="133"/>
      <c r="J15" s="133"/>
    </row>
    <row r="16" spans="1:10" ht="24" customHeight="1" x14ac:dyDescent="0.25">
      <c r="A16" s="399" t="s">
        <v>8</v>
      </c>
      <c r="B16" s="399"/>
      <c r="C16" s="496"/>
      <c r="D16" s="496"/>
      <c r="E16" s="116"/>
      <c r="F16" s="496"/>
      <c r="G16" s="496"/>
      <c r="H16" s="116"/>
      <c r="I16" s="133"/>
      <c r="J16" s="133"/>
    </row>
    <row r="17" spans="1:10" ht="14.45" customHeight="1" x14ac:dyDescent="0.25">
      <c r="A17" s="399" t="s">
        <v>9</v>
      </c>
      <c r="B17" s="399"/>
      <c r="C17" s="528" t="str">
        <f>IF($C$6="","",IF($C$8="","",IF('4. Purchased Energy Rates'!$B$4="Section 11 ECB",VLOOKUP('6i. HVAC Air-Side  (2)'!C7,Lists!A48:B58,2),VLOOKUP('6i. HVAC Air-Side  (2)'!C6,Lists!B78:C86,2))))</f>
        <v/>
      </c>
      <c r="D17" s="529"/>
      <c r="E17" s="530"/>
      <c r="F17" s="496"/>
      <c r="G17" s="496"/>
      <c r="H17" s="496"/>
      <c r="I17" s="133"/>
      <c r="J17" s="133"/>
    </row>
    <row r="18" spans="1:10" x14ac:dyDescent="0.25">
      <c r="A18" s="399" t="s">
        <v>10</v>
      </c>
      <c r="B18" s="399"/>
      <c r="C18" s="496"/>
      <c r="D18" s="496"/>
      <c r="E18" s="152" t="s">
        <v>11</v>
      </c>
      <c r="F18" s="496"/>
      <c r="G18" s="496"/>
      <c r="H18" s="152" t="s">
        <v>11</v>
      </c>
      <c r="I18" s="133"/>
      <c r="J18" s="133"/>
    </row>
    <row r="19" spans="1:10" x14ac:dyDescent="0.25">
      <c r="A19" s="399" t="s">
        <v>12</v>
      </c>
      <c r="B19" s="399"/>
      <c r="C19" s="496"/>
      <c r="D19" s="496"/>
      <c r="E19" s="152" t="s">
        <v>11</v>
      </c>
      <c r="F19" s="496"/>
      <c r="G19" s="496"/>
      <c r="H19" s="152" t="s">
        <v>11</v>
      </c>
      <c r="I19" s="133"/>
      <c r="J19" s="133"/>
    </row>
    <row r="20" spans="1:10" ht="24" customHeight="1" x14ac:dyDescent="0.25">
      <c r="A20" s="399" t="s">
        <v>13</v>
      </c>
      <c r="B20" s="399"/>
      <c r="C20" s="417"/>
      <c r="D20" s="417"/>
      <c r="E20" s="417"/>
      <c r="F20" s="417"/>
      <c r="G20" s="417"/>
      <c r="H20" s="417"/>
      <c r="I20" s="133"/>
      <c r="J20" s="133"/>
    </row>
    <row r="21" spans="1:10" x14ac:dyDescent="0.25">
      <c r="A21" s="390" t="s">
        <v>14</v>
      </c>
      <c r="B21" s="390"/>
      <c r="C21" s="496"/>
      <c r="D21" s="496"/>
      <c r="E21" s="133"/>
      <c r="F21" s="496"/>
      <c r="G21" s="496"/>
      <c r="H21" s="133"/>
      <c r="I21" s="133"/>
      <c r="J21" s="133"/>
    </row>
    <row r="22" spans="1:10" x14ac:dyDescent="0.25">
      <c r="A22" s="390"/>
      <c r="B22" s="390"/>
      <c r="C22" s="496"/>
      <c r="D22" s="496"/>
      <c r="E22" s="133"/>
      <c r="F22" s="496"/>
      <c r="G22" s="496"/>
      <c r="H22" s="133"/>
      <c r="I22" s="133"/>
      <c r="J22" s="133"/>
    </row>
    <row r="23" spans="1:10" x14ac:dyDescent="0.25">
      <c r="A23" s="390"/>
      <c r="B23" s="390"/>
      <c r="C23" s="496"/>
      <c r="D23" s="496"/>
      <c r="E23" s="133"/>
      <c r="F23" s="496"/>
      <c r="G23" s="496"/>
      <c r="H23" s="133"/>
      <c r="I23" s="133"/>
      <c r="J23" s="133"/>
    </row>
    <row r="24" spans="1:10" ht="27.75" customHeight="1" x14ac:dyDescent="0.25">
      <c r="A24" s="399" t="s">
        <v>22</v>
      </c>
      <c r="B24" s="399"/>
      <c r="C24" s="496"/>
      <c r="D24" s="496"/>
      <c r="E24" s="496"/>
      <c r="F24" s="496"/>
      <c r="G24" s="496"/>
      <c r="H24" s="496"/>
      <c r="I24" s="133"/>
      <c r="J24" s="133"/>
    </row>
    <row r="25" spans="1:10" ht="36" customHeight="1" x14ac:dyDescent="0.25">
      <c r="A25" s="399" t="s">
        <v>53</v>
      </c>
      <c r="B25" s="399"/>
      <c r="C25" s="496"/>
      <c r="D25" s="496"/>
      <c r="E25" s="496"/>
      <c r="F25" s="496"/>
      <c r="G25" s="496"/>
      <c r="H25" s="496"/>
      <c r="I25" s="133"/>
      <c r="J25" s="133"/>
    </row>
    <row r="26" spans="1:10" x14ac:dyDescent="0.25">
      <c r="A26" s="399" t="s">
        <v>15</v>
      </c>
      <c r="B26" s="399"/>
      <c r="C26" s="496"/>
      <c r="D26" s="496"/>
      <c r="E26" s="152" t="s">
        <v>16</v>
      </c>
      <c r="F26" s="496"/>
      <c r="G26" s="496"/>
      <c r="H26" s="152" t="s">
        <v>16</v>
      </c>
      <c r="I26" s="133"/>
      <c r="J26" s="133"/>
    </row>
    <row r="27" spans="1:10" x14ac:dyDescent="0.25">
      <c r="A27" s="399" t="s">
        <v>17</v>
      </c>
      <c r="B27" s="399"/>
      <c r="C27" s="496"/>
      <c r="D27" s="496"/>
      <c r="E27" s="152" t="s">
        <v>16</v>
      </c>
      <c r="F27" s="496"/>
      <c r="G27" s="496"/>
      <c r="H27" s="152" t="s">
        <v>16</v>
      </c>
      <c r="I27" s="133"/>
      <c r="J27" s="133"/>
    </row>
    <row r="28" spans="1:10" x14ac:dyDescent="0.25">
      <c r="A28" s="399" t="s">
        <v>18</v>
      </c>
      <c r="B28" s="399"/>
      <c r="C28" s="496"/>
      <c r="D28" s="496"/>
      <c r="E28" s="152" t="s">
        <v>16</v>
      </c>
      <c r="F28" s="496"/>
      <c r="G28" s="496"/>
      <c r="H28" s="152" t="s">
        <v>16</v>
      </c>
      <c r="I28" s="133"/>
      <c r="J28" s="133"/>
    </row>
    <row r="29" spans="1:10" x14ac:dyDescent="0.25">
      <c r="A29" s="399" t="s">
        <v>19</v>
      </c>
      <c r="B29" s="399"/>
      <c r="C29" s="496"/>
      <c r="D29" s="496"/>
      <c r="E29" s="152" t="s">
        <v>16</v>
      </c>
      <c r="F29" s="496"/>
      <c r="G29" s="496"/>
      <c r="H29" s="152" t="s">
        <v>16</v>
      </c>
      <c r="I29" s="133"/>
      <c r="J29" s="133"/>
    </row>
    <row r="30" spans="1:10" x14ac:dyDescent="0.25">
      <c r="A30" s="497" t="s">
        <v>20</v>
      </c>
      <c r="B30" s="497"/>
      <c r="C30" s="527"/>
      <c r="D30" s="527"/>
      <c r="E30" s="152" t="s">
        <v>16</v>
      </c>
      <c r="F30" s="527"/>
      <c r="G30" s="527"/>
      <c r="H30" s="152" t="s">
        <v>16</v>
      </c>
      <c r="I30" s="153"/>
      <c r="J30" s="153"/>
    </row>
    <row r="31" spans="1:10" x14ac:dyDescent="0.25">
      <c r="A31" s="402" t="s">
        <v>353</v>
      </c>
      <c r="B31" s="404"/>
      <c r="C31" s="496"/>
      <c r="D31" s="496"/>
      <c r="E31" s="496"/>
      <c r="F31" s="496"/>
      <c r="G31" s="496"/>
      <c r="H31" s="496"/>
      <c r="I31" s="133"/>
      <c r="J31" s="133"/>
    </row>
    <row r="32" spans="1:10" x14ac:dyDescent="0.25">
      <c r="A32" s="402" t="s">
        <v>353</v>
      </c>
      <c r="B32" s="404"/>
      <c r="C32" s="496"/>
      <c r="D32" s="496"/>
      <c r="E32" s="496"/>
      <c r="F32" s="496"/>
      <c r="G32" s="496"/>
      <c r="H32" s="496"/>
      <c r="I32" s="133"/>
      <c r="J32" s="133"/>
    </row>
    <row r="33" spans="1:10" x14ac:dyDescent="0.25">
      <c r="A33" s="402" t="s">
        <v>353</v>
      </c>
      <c r="B33" s="404"/>
      <c r="C33" s="496"/>
      <c r="D33" s="496"/>
      <c r="E33" s="496"/>
      <c r="F33" s="496"/>
      <c r="G33" s="496"/>
      <c r="H33" s="496"/>
      <c r="I33" s="133"/>
      <c r="J33" s="133"/>
    </row>
    <row r="34" spans="1:10" x14ac:dyDescent="0.25">
      <c r="A34" s="402" t="s">
        <v>353</v>
      </c>
      <c r="B34" s="404"/>
      <c r="C34" s="496"/>
      <c r="D34" s="496"/>
      <c r="E34" s="496"/>
      <c r="F34" s="496"/>
      <c r="G34" s="496"/>
      <c r="H34" s="496"/>
      <c r="I34" s="133"/>
      <c r="J34" s="133"/>
    </row>
  </sheetData>
  <sheetProtection password="C5B9" sheet="1" objects="1" scenarios="1"/>
  <dataConsolidate/>
  <mergeCells count="92">
    <mergeCell ref="A34:B34"/>
    <mergeCell ref="C34:E34"/>
    <mergeCell ref="F34:H34"/>
    <mergeCell ref="A32:B32"/>
    <mergeCell ref="C32:E32"/>
    <mergeCell ref="F32:H32"/>
    <mergeCell ref="A33:B33"/>
    <mergeCell ref="C33:E33"/>
    <mergeCell ref="F33:H33"/>
    <mergeCell ref="A30:B30"/>
    <mergeCell ref="C30:D30"/>
    <mergeCell ref="F30:G30"/>
    <mergeCell ref="A31:B31"/>
    <mergeCell ref="C31:E31"/>
    <mergeCell ref="F31:H31"/>
    <mergeCell ref="A28:B28"/>
    <mergeCell ref="C28:D28"/>
    <mergeCell ref="F28:G28"/>
    <mergeCell ref="A29:B29"/>
    <mergeCell ref="C29:D29"/>
    <mergeCell ref="F29:G29"/>
    <mergeCell ref="A26:B26"/>
    <mergeCell ref="C26:D26"/>
    <mergeCell ref="F26:G26"/>
    <mergeCell ref="A27:B27"/>
    <mergeCell ref="C27:D27"/>
    <mergeCell ref="F27:G27"/>
    <mergeCell ref="A24:B24"/>
    <mergeCell ref="C24:E24"/>
    <mergeCell ref="F24:H24"/>
    <mergeCell ref="A25:B25"/>
    <mergeCell ref="C25:E25"/>
    <mergeCell ref="F25:H25"/>
    <mergeCell ref="A20:B20"/>
    <mergeCell ref="C20:E20"/>
    <mergeCell ref="F20:H20"/>
    <mergeCell ref="A21:B23"/>
    <mergeCell ref="C21:D21"/>
    <mergeCell ref="F21:G21"/>
    <mergeCell ref="C22:D22"/>
    <mergeCell ref="F22:G22"/>
    <mergeCell ref="C23:D23"/>
    <mergeCell ref="F23:G23"/>
    <mergeCell ref="A18:B18"/>
    <mergeCell ref="C18:D18"/>
    <mergeCell ref="F18:G18"/>
    <mergeCell ref="A19:B19"/>
    <mergeCell ref="C19:D19"/>
    <mergeCell ref="F19:G19"/>
    <mergeCell ref="A16:B16"/>
    <mergeCell ref="C16:D16"/>
    <mergeCell ref="F16:G16"/>
    <mergeCell ref="A17:B17"/>
    <mergeCell ref="C17:E17"/>
    <mergeCell ref="F17:H17"/>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A8:B8"/>
    <mergeCell ref="C8:E8"/>
    <mergeCell ref="F8:H8"/>
    <mergeCell ref="A9:B9"/>
    <mergeCell ref="C9:E9"/>
    <mergeCell ref="F9:H9"/>
    <mergeCell ref="A5:B7"/>
    <mergeCell ref="C5:E5"/>
    <mergeCell ref="F5:H7"/>
    <mergeCell ref="I5:I7"/>
    <mergeCell ref="J5:J7"/>
    <mergeCell ref="C6:E6"/>
    <mergeCell ref="C7:E7"/>
    <mergeCell ref="A2:J2"/>
    <mergeCell ref="A3:B4"/>
    <mergeCell ref="C3:E3"/>
    <mergeCell ref="F3:J3"/>
    <mergeCell ref="C4:D4"/>
    <mergeCell ref="F4:G4"/>
  </mergeCells>
  <dataValidations count="2">
    <dataValidation type="list" allowBlank="1" showInputMessage="1" showErrorMessage="1" sqref="H16" xr:uid="{00000000-0002-0000-2600-000000000000}">
      <formula1>$O$4:$O$10</formula1>
    </dataValidation>
    <dataValidation type="list" allowBlank="1" showInputMessage="1" showErrorMessage="1" sqref="C20:H20" xr:uid="{00000000-0002-0000-2600-000001000000}">
      <formula1>Yes_No</formula1>
    </dataValidation>
  </dataValidations>
  <pageMargins left="0.7" right="0.7" top="0.75" bottom="0.75" header="0.3" footer="0.3"/>
  <pageSetup scale="76" orientation="portrait" r:id="rId1"/>
  <headerFooter>
    <oddHeader>&amp;L&amp;G&amp;C&amp;G</oddHeader>
    <oddFooter>&amp;RNovember 2016</oddFooter>
  </headerFooter>
  <colBreaks count="1" manualBreakCount="1">
    <brk id="10" max="1048575" man="1"/>
  </colBreaks>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promptTitle="ECB System Selection" prompt="Only select a system with ECB compliance path is selected." xr:uid="{00000000-0002-0000-2600-000002000000}">
          <x14:formula1>
            <xm:f>Lists!$A$48:$A$58</xm:f>
          </x14:formula1>
          <xm:sqref>C7:E7</xm:sqref>
        </x14:dataValidation>
        <x14:dataValidation type="list" allowBlank="1" showInputMessage="1" showErrorMessage="1" promptTitle="Appendix G System Selection" prompt="Only select a system when Appendix G is used for compliance_x000a_" xr:uid="{00000000-0002-0000-2600-000003000000}">
          <x14:formula1>
            <xm:f>Lists!$A$67:$A$75</xm:f>
          </x14:formula1>
          <xm:sqref>C5:E5</xm:sqref>
        </x14:dataValidation>
        <x14:dataValidation type="list" allowBlank="1" showInputMessage="1" showErrorMessage="1" xr:uid="{00000000-0002-0000-2600-000004000000}">
          <x14:formula1>
            <xm:f>Lists!$S$4:$S$8</xm:f>
          </x14:formula1>
          <xm:sqref>E16</xm:sqref>
        </x14:dataValidation>
        <x14:dataValidation type="list" allowBlank="1" showInputMessage="1" showErrorMessage="1" xr:uid="{00000000-0002-0000-2600-000005000000}">
          <x14:formula1>
            <xm:f>Lists!$S$4:$S$7</xm:f>
          </x14:formula1>
          <xm:sqref>H15 E15</xm:sqref>
        </x14:dataValidation>
        <x14:dataValidation type="list" allowBlank="1" showInputMessage="1" showErrorMessage="1" xr:uid="{00000000-0002-0000-2600-000006000000}">
          <x14:formula1>
            <xm:f>Lists!$P$1:$P$2</xm:f>
          </x14:formula1>
          <xm:sqref>H14 E14</xm:sqref>
        </x14:dataValidation>
        <x14:dataValidation type="list" allowBlank="1" showInputMessage="1" showErrorMessage="1" xr:uid="{00000000-0002-0000-2600-000007000000}">
          <x14:formula1>
            <xm:f>Lists!$R$4:$R$5</xm:f>
          </x14:formula1>
          <xm:sqref>H12 E12</xm:sqref>
        </x14:dataValidation>
        <x14:dataValidation type="list" allowBlank="1" showInputMessage="1" showErrorMessage="1" xr:uid="{00000000-0002-0000-2600-000008000000}">
          <x14:formula1>
            <xm:f>Lists!$Q$4:$Q$7</xm:f>
          </x14:formula1>
          <xm:sqref>E10:E11 H10:H11</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8">
    <tabColor rgb="FFFFC000"/>
  </sheetPr>
  <dimension ref="B2:H26"/>
  <sheetViews>
    <sheetView zoomScaleNormal="100" zoomScaleSheetLayoutView="115" workbookViewId="0">
      <selection activeCell="K15" sqref="K15"/>
    </sheetView>
  </sheetViews>
  <sheetFormatPr defaultRowHeight="15" x14ac:dyDescent="0.25"/>
  <cols>
    <col min="1" max="1" width="3.28515625" customWidth="1"/>
    <col min="2" max="2" width="21.7109375" customWidth="1"/>
    <col min="3" max="3" width="26.5703125" customWidth="1"/>
    <col min="4" max="4" width="7.42578125" customWidth="1"/>
    <col min="5" max="5" width="22.85546875" customWidth="1"/>
    <col min="6" max="6" width="6.85546875" customWidth="1"/>
    <col min="7" max="8" width="13.140625" customWidth="1"/>
  </cols>
  <sheetData>
    <row r="2" spans="2:8" ht="17.25" customHeight="1" x14ac:dyDescent="0.25">
      <c r="B2" s="436" t="s">
        <v>91</v>
      </c>
      <c r="C2" s="437"/>
      <c r="D2" s="437"/>
      <c r="E2" s="437"/>
      <c r="F2" s="437"/>
      <c r="G2" s="437"/>
      <c r="H2" s="438"/>
    </row>
    <row r="3" spans="2:8" ht="26.25" customHeight="1" x14ac:dyDescent="0.25">
      <c r="B3" s="55" t="s">
        <v>0</v>
      </c>
      <c r="C3" s="390" t="s">
        <v>374</v>
      </c>
      <c r="D3" s="390"/>
      <c r="E3" s="390" t="s">
        <v>375</v>
      </c>
      <c r="F3" s="390"/>
      <c r="G3" s="390"/>
      <c r="H3" s="39"/>
    </row>
    <row r="4" spans="2:8" ht="31.5" customHeight="1" x14ac:dyDescent="0.25">
      <c r="B4" s="54"/>
      <c r="C4" s="39" t="s">
        <v>1</v>
      </c>
      <c r="D4" s="37" t="s">
        <v>2</v>
      </c>
      <c r="E4" s="56" t="s">
        <v>1</v>
      </c>
      <c r="F4" s="37" t="s">
        <v>2</v>
      </c>
      <c r="G4" s="39" t="s">
        <v>21</v>
      </c>
      <c r="H4" s="39" t="s">
        <v>123</v>
      </c>
    </row>
    <row r="5" spans="2:8" ht="33.75" customHeight="1" x14ac:dyDescent="0.25">
      <c r="B5" s="39" t="s">
        <v>373</v>
      </c>
      <c r="C5" s="496"/>
      <c r="D5" s="496"/>
      <c r="E5" s="496" t="s">
        <v>844</v>
      </c>
      <c r="F5" s="496"/>
      <c r="G5" s="133"/>
      <c r="H5" s="133"/>
    </row>
    <row r="6" spans="2:8" ht="24" customHeight="1" x14ac:dyDescent="0.25">
      <c r="B6" s="37" t="s">
        <v>25</v>
      </c>
      <c r="C6" s="133"/>
      <c r="D6" s="133"/>
      <c r="E6" s="150"/>
      <c r="F6" s="133"/>
      <c r="G6" s="133"/>
      <c r="H6" s="133"/>
    </row>
    <row r="7" spans="2:8" ht="22.5" customHeight="1" x14ac:dyDescent="0.25">
      <c r="B7" s="37" t="s">
        <v>27</v>
      </c>
      <c r="C7" s="133"/>
      <c r="D7" s="133"/>
      <c r="E7" s="150">
        <v>1.2969999999999999</v>
      </c>
      <c r="F7" s="133" t="s">
        <v>845</v>
      </c>
      <c r="G7" s="133"/>
      <c r="H7" s="133"/>
    </row>
    <row r="8" spans="2:8" ht="36" customHeight="1" x14ac:dyDescent="0.25">
      <c r="B8" s="37" t="s">
        <v>28</v>
      </c>
      <c r="C8" s="133"/>
      <c r="D8" s="133"/>
      <c r="E8" s="150">
        <v>0.88400000000000001</v>
      </c>
      <c r="F8" s="133" t="s">
        <v>845</v>
      </c>
      <c r="G8" s="133"/>
      <c r="H8" s="133"/>
    </row>
    <row r="9" spans="2:8" ht="36" customHeight="1" x14ac:dyDescent="0.25">
      <c r="B9" s="37" t="s">
        <v>29</v>
      </c>
      <c r="C9" s="133"/>
      <c r="D9" s="39" t="s">
        <v>30</v>
      </c>
      <c r="E9" s="150">
        <v>44</v>
      </c>
      <c r="F9" s="39" t="s">
        <v>30</v>
      </c>
      <c r="G9" s="133"/>
      <c r="H9" s="133"/>
    </row>
    <row r="10" spans="2:8" ht="21.75" customHeight="1" x14ac:dyDescent="0.25">
      <c r="B10" s="37" t="s">
        <v>364</v>
      </c>
      <c r="C10" s="133"/>
      <c r="D10" s="39" t="s">
        <v>30</v>
      </c>
      <c r="E10" s="150">
        <v>12</v>
      </c>
      <c r="F10" s="39" t="s">
        <v>30</v>
      </c>
      <c r="G10" s="133"/>
      <c r="H10" s="133"/>
    </row>
    <row r="11" spans="2:8" ht="24" customHeight="1" x14ac:dyDescent="0.25">
      <c r="B11" s="37" t="s">
        <v>31</v>
      </c>
      <c r="C11" s="496"/>
      <c r="D11" s="496"/>
      <c r="E11" s="496" t="s">
        <v>846</v>
      </c>
      <c r="F11" s="496"/>
      <c r="G11" s="133"/>
      <c r="H11" s="133"/>
    </row>
    <row r="12" spans="2:8" ht="24" customHeight="1" x14ac:dyDescent="0.25">
      <c r="B12" s="37" t="s">
        <v>32</v>
      </c>
      <c r="C12" s="496"/>
      <c r="D12" s="496"/>
      <c r="E12" s="496"/>
      <c r="F12" s="496"/>
      <c r="G12" s="133"/>
      <c r="H12" s="133"/>
    </row>
    <row r="13" spans="2:8" ht="36" customHeight="1" x14ac:dyDescent="0.25">
      <c r="B13" s="37" t="s">
        <v>365</v>
      </c>
      <c r="C13" s="133"/>
      <c r="D13" s="39" t="s">
        <v>33</v>
      </c>
      <c r="E13" s="150"/>
      <c r="F13" s="39" t="s">
        <v>33</v>
      </c>
      <c r="G13" s="133"/>
      <c r="H13" s="133"/>
    </row>
    <row r="14" spans="2:8" ht="24" customHeight="1" x14ac:dyDescent="0.25">
      <c r="B14" s="37" t="s">
        <v>366</v>
      </c>
      <c r="C14" s="133"/>
      <c r="D14" s="133"/>
      <c r="E14" s="150"/>
      <c r="F14" s="133"/>
      <c r="G14" s="133"/>
      <c r="H14" s="133"/>
    </row>
    <row r="15" spans="2:8" ht="24" customHeight="1" x14ac:dyDescent="0.25">
      <c r="B15" s="37" t="s">
        <v>367</v>
      </c>
      <c r="C15" s="133"/>
      <c r="D15" s="39" t="s">
        <v>34</v>
      </c>
      <c r="E15" s="150"/>
      <c r="F15" s="39" t="s">
        <v>34</v>
      </c>
      <c r="G15" s="133"/>
      <c r="H15" s="133"/>
    </row>
    <row r="16" spans="2:8" ht="22.5" customHeight="1" x14ac:dyDescent="0.25">
      <c r="B16" s="37" t="s">
        <v>368</v>
      </c>
      <c r="C16" s="496"/>
      <c r="D16" s="496"/>
      <c r="E16" s="496"/>
      <c r="F16" s="496"/>
      <c r="G16" s="133"/>
      <c r="H16" s="133"/>
    </row>
    <row r="17" spans="2:8" ht="21.75" customHeight="1" x14ac:dyDescent="0.25">
      <c r="B17" s="37" t="s">
        <v>369</v>
      </c>
      <c r="C17" s="133"/>
      <c r="D17" s="39" t="s">
        <v>33</v>
      </c>
      <c r="E17" s="150"/>
      <c r="F17" s="39" t="s">
        <v>33</v>
      </c>
      <c r="G17" s="133"/>
      <c r="H17" s="133"/>
    </row>
    <row r="18" spans="2:8" ht="24" customHeight="1" x14ac:dyDescent="0.25">
      <c r="B18" s="37" t="s">
        <v>370</v>
      </c>
      <c r="C18" s="133"/>
      <c r="D18" s="133"/>
      <c r="E18" s="150"/>
      <c r="F18" s="133"/>
      <c r="G18" s="133"/>
      <c r="H18" s="133"/>
    </row>
    <row r="19" spans="2:8" ht="15" customHeight="1" x14ac:dyDescent="0.25">
      <c r="B19" s="37" t="s">
        <v>371</v>
      </c>
      <c r="C19" s="133"/>
      <c r="D19" s="39" t="s">
        <v>34</v>
      </c>
      <c r="E19" s="150"/>
      <c r="F19" s="39" t="s">
        <v>34</v>
      </c>
      <c r="G19" s="133"/>
      <c r="H19" s="133"/>
    </row>
    <row r="20" spans="2:8" ht="15" customHeight="1" x14ac:dyDescent="0.25">
      <c r="B20" s="37" t="s">
        <v>372</v>
      </c>
      <c r="C20" s="496"/>
      <c r="D20" s="496"/>
      <c r="E20" s="496"/>
      <c r="F20" s="496"/>
      <c r="G20" s="133"/>
      <c r="H20" s="133"/>
    </row>
    <row r="21" spans="2:8" x14ac:dyDescent="0.25">
      <c r="B21" s="37" t="s">
        <v>35</v>
      </c>
      <c r="C21" s="133"/>
      <c r="D21" s="133"/>
      <c r="E21" s="150"/>
      <c r="F21" s="133"/>
      <c r="G21" s="133"/>
      <c r="H21" s="133"/>
    </row>
    <row r="22" spans="2:8" ht="24" customHeight="1" x14ac:dyDescent="0.25">
      <c r="B22" s="37" t="s">
        <v>36</v>
      </c>
      <c r="C22" s="133"/>
      <c r="D22" s="133"/>
      <c r="E22" s="150"/>
      <c r="F22" s="133"/>
      <c r="G22" s="133"/>
      <c r="H22" s="133"/>
    </row>
    <row r="23" spans="2:8" x14ac:dyDescent="0.25">
      <c r="B23" s="49" t="s">
        <v>353</v>
      </c>
      <c r="C23" s="154"/>
      <c r="D23" s="134"/>
      <c r="E23" s="154"/>
      <c r="F23" s="134"/>
      <c r="G23" s="133"/>
      <c r="H23" s="133"/>
    </row>
    <row r="24" spans="2:8" x14ac:dyDescent="0.25">
      <c r="B24" s="49" t="s">
        <v>353</v>
      </c>
      <c r="C24" s="154"/>
      <c r="D24" s="134"/>
      <c r="E24" s="154"/>
      <c r="F24" s="134"/>
      <c r="G24" s="133"/>
      <c r="H24" s="133"/>
    </row>
    <row r="25" spans="2:8" x14ac:dyDescent="0.25">
      <c r="B25" s="49" t="s">
        <v>353</v>
      </c>
      <c r="C25" s="154"/>
      <c r="D25" s="134"/>
      <c r="E25" s="154"/>
      <c r="F25" s="134"/>
      <c r="G25" s="133"/>
      <c r="H25" s="133"/>
    </row>
    <row r="26" spans="2:8" x14ac:dyDescent="0.25">
      <c r="B26" s="49" t="s">
        <v>353</v>
      </c>
      <c r="C26" s="154"/>
      <c r="D26" s="134"/>
      <c r="E26" s="154"/>
      <c r="F26" s="134"/>
      <c r="G26" s="133"/>
      <c r="H26" s="133"/>
    </row>
  </sheetData>
  <sheetProtection password="C5B9" sheet="1" objects="1" scenarios="1"/>
  <mergeCells count="13">
    <mergeCell ref="B2:H2"/>
    <mergeCell ref="C20:D20"/>
    <mergeCell ref="E20:F20"/>
    <mergeCell ref="E3:G3"/>
    <mergeCell ref="C5:D5"/>
    <mergeCell ref="E5:F5"/>
    <mergeCell ref="C3:D3"/>
    <mergeCell ref="C16:D16"/>
    <mergeCell ref="E16:F16"/>
    <mergeCell ref="C12:D12"/>
    <mergeCell ref="E12:F12"/>
    <mergeCell ref="C11:D11"/>
    <mergeCell ref="E11:F11"/>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rgb="FFFFC000"/>
  </sheetPr>
  <dimension ref="B2:H18"/>
  <sheetViews>
    <sheetView view="pageLayout" zoomScaleNormal="100" zoomScaleSheetLayoutView="115" workbookViewId="0">
      <selection activeCell="C27" sqref="C27:G27"/>
    </sheetView>
  </sheetViews>
  <sheetFormatPr defaultRowHeight="15" x14ac:dyDescent="0.25"/>
  <cols>
    <col min="1" max="1" width="3.28515625" customWidth="1"/>
    <col min="2" max="2" width="23.42578125" customWidth="1"/>
    <col min="3" max="3" width="28.7109375" customWidth="1"/>
    <col min="4" max="4" width="7.42578125" customWidth="1"/>
    <col min="5" max="5" width="22.5703125" customWidth="1"/>
    <col min="6" max="6" width="6.85546875" customWidth="1"/>
    <col min="7" max="7" width="11.7109375" customWidth="1"/>
    <col min="8" max="8" width="12.140625" customWidth="1"/>
  </cols>
  <sheetData>
    <row r="2" spans="2:8" ht="17.25" customHeight="1" x14ac:dyDescent="0.25">
      <c r="B2" s="436" t="s">
        <v>90</v>
      </c>
      <c r="C2" s="437"/>
      <c r="D2" s="437"/>
      <c r="E2" s="437"/>
      <c r="F2" s="437"/>
      <c r="G2" s="437"/>
      <c r="H2" s="438"/>
    </row>
    <row r="3" spans="2:8" ht="15" customHeight="1" x14ac:dyDescent="0.25">
      <c r="B3" s="55" t="s">
        <v>0</v>
      </c>
      <c r="C3" s="390" t="s">
        <v>374</v>
      </c>
      <c r="D3" s="390"/>
      <c r="E3" s="390" t="s">
        <v>375</v>
      </c>
      <c r="F3" s="390"/>
      <c r="G3" s="390"/>
      <c r="H3" s="39"/>
    </row>
    <row r="4" spans="2:8" ht="31.5" customHeight="1" x14ac:dyDescent="0.25">
      <c r="B4" s="54"/>
      <c r="C4" s="39" t="s">
        <v>1</v>
      </c>
      <c r="D4" s="37" t="s">
        <v>2</v>
      </c>
      <c r="E4" s="56" t="s">
        <v>1</v>
      </c>
      <c r="F4" s="37" t="s">
        <v>2</v>
      </c>
      <c r="G4" s="39" t="s">
        <v>21</v>
      </c>
      <c r="H4" s="39" t="s">
        <v>123</v>
      </c>
    </row>
    <row r="5" spans="2:8" ht="33.75" customHeight="1" x14ac:dyDescent="0.25">
      <c r="B5" s="52" t="s">
        <v>376</v>
      </c>
      <c r="C5" s="496"/>
      <c r="D5" s="496"/>
      <c r="E5" s="496"/>
      <c r="F5" s="496"/>
      <c r="G5" s="133"/>
      <c r="H5" s="133"/>
    </row>
    <row r="6" spans="2:8" x14ac:dyDescent="0.25">
      <c r="B6" s="37" t="s">
        <v>37</v>
      </c>
      <c r="C6" s="133"/>
      <c r="D6" s="133"/>
      <c r="E6" s="150"/>
      <c r="F6" s="133"/>
      <c r="G6" s="133"/>
      <c r="H6" s="133"/>
    </row>
    <row r="7" spans="2:8" ht="28.5" customHeight="1" x14ac:dyDescent="0.25">
      <c r="B7" s="37" t="s">
        <v>38</v>
      </c>
      <c r="C7" s="133"/>
      <c r="D7" s="133"/>
      <c r="E7" s="150"/>
      <c r="F7" s="133"/>
      <c r="G7" s="133"/>
      <c r="H7" s="133"/>
    </row>
    <row r="8" spans="2:8" ht="36" customHeight="1" x14ac:dyDescent="0.25">
      <c r="B8" s="37" t="s">
        <v>39</v>
      </c>
      <c r="C8" s="133"/>
      <c r="D8" s="39" t="s">
        <v>30</v>
      </c>
      <c r="E8" s="133"/>
      <c r="F8" s="39" t="s">
        <v>30</v>
      </c>
      <c r="G8" s="133"/>
      <c r="H8" s="133"/>
    </row>
    <row r="9" spans="2:8" ht="21.75" customHeight="1" x14ac:dyDescent="0.25">
      <c r="B9" s="37" t="s">
        <v>40</v>
      </c>
      <c r="C9" s="133"/>
      <c r="D9" s="39" t="s">
        <v>30</v>
      </c>
      <c r="E9" s="133"/>
      <c r="F9" s="39" t="s">
        <v>30</v>
      </c>
      <c r="G9" s="133"/>
      <c r="H9" s="133"/>
    </row>
    <row r="10" spans="2:8" ht="24" customHeight="1" x14ac:dyDescent="0.25">
      <c r="B10" s="37" t="s">
        <v>41</v>
      </c>
      <c r="C10" s="496"/>
      <c r="D10" s="496"/>
      <c r="E10" s="496"/>
      <c r="F10" s="496"/>
      <c r="G10" s="133"/>
      <c r="H10" s="133"/>
    </row>
    <row r="11" spans="2:8" ht="36" customHeight="1" x14ac:dyDescent="0.25">
      <c r="B11" s="37" t="s">
        <v>42</v>
      </c>
      <c r="C11" s="133"/>
      <c r="D11" s="39" t="s">
        <v>33</v>
      </c>
      <c r="E11" s="133"/>
      <c r="F11" s="39" t="s">
        <v>33</v>
      </c>
      <c r="G11" s="133"/>
      <c r="H11" s="133"/>
    </row>
    <row r="12" spans="2:8" x14ac:dyDescent="0.25">
      <c r="B12" s="37" t="s">
        <v>43</v>
      </c>
      <c r="C12" s="133"/>
      <c r="D12" s="133"/>
      <c r="E12" s="133"/>
      <c r="F12" s="133"/>
      <c r="G12" s="133"/>
      <c r="H12" s="133"/>
    </row>
    <row r="13" spans="2:8" ht="23.25" customHeight="1" x14ac:dyDescent="0.25">
      <c r="B13" s="37" t="s">
        <v>44</v>
      </c>
      <c r="C13" s="133"/>
      <c r="D13" s="39" t="s">
        <v>34</v>
      </c>
      <c r="E13" s="133"/>
      <c r="F13" s="39" t="s">
        <v>34</v>
      </c>
      <c r="G13" s="133"/>
      <c r="H13" s="133"/>
    </row>
    <row r="14" spans="2:8" ht="21" customHeight="1" x14ac:dyDescent="0.25">
      <c r="B14" s="37" t="s">
        <v>45</v>
      </c>
      <c r="C14" s="496"/>
      <c r="D14" s="496"/>
      <c r="E14" s="496"/>
      <c r="F14" s="496"/>
      <c r="G14" s="133"/>
      <c r="H14" s="133"/>
    </row>
    <row r="15" spans="2:8" x14ac:dyDescent="0.25">
      <c r="B15" s="49" t="s">
        <v>353</v>
      </c>
      <c r="C15" s="154"/>
      <c r="D15" s="134"/>
      <c r="E15" s="154"/>
      <c r="F15" s="134"/>
      <c r="G15" s="133"/>
      <c r="H15" s="133"/>
    </row>
    <row r="16" spans="2:8" x14ac:dyDescent="0.25">
      <c r="B16" s="49" t="s">
        <v>353</v>
      </c>
      <c r="C16" s="154"/>
      <c r="D16" s="134"/>
      <c r="E16" s="154"/>
      <c r="F16" s="134"/>
      <c r="G16" s="133"/>
      <c r="H16" s="133"/>
    </row>
    <row r="17" spans="2:8" x14ac:dyDescent="0.25">
      <c r="B17" s="49" t="s">
        <v>353</v>
      </c>
      <c r="C17" s="154"/>
      <c r="D17" s="134"/>
      <c r="E17" s="154"/>
      <c r="F17" s="134"/>
      <c r="G17" s="133"/>
      <c r="H17" s="133"/>
    </row>
    <row r="18" spans="2:8" x14ac:dyDescent="0.25">
      <c r="B18" s="49" t="s">
        <v>353</v>
      </c>
      <c r="C18" s="154"/>
      <c r="D18" s="134"/>
      <c r="E18" s="154"/>
      <c r="F18" s="134"/>
      <c r="G18" s="133"/>
      <c r="H18" s="133"/>
    </row>
  </sheetData>
  <sheetProtection password="C5B9" sheet="1" objects="1" scenarios="1"/>
  <mergeCells count="9">
    <mergeCell ref="C14:D14"/>
    <mergeCell ref="E14:F14"/>
    <mergeCell ref="B2:H2"/>
    <mergeCell ref="C3:D3"/>
    <mergeCell ref="E3:G3"/>
    <mergeCell ref="C5:D5"/>
    <mergeCell ref="E5:F5"/>
    <mergeCell ref="C10:D10"/>
    <mergeCell ref="E10:F10"/>
  </mergeCells>
  <pageMargins left="0.7" right="0.7" top="0.75" bottom="0.75" header="0.3" footer="0.3"/>
  <pageSetup scale="77" orientation="portrait" r:id="rId1"/>
  <headerFooter>
    <oddHeader>&amp;L&amp;G&amp;C&amp;G</oddHeader>
    <oddFooter>&amp;RNovember 2016</oddFooter>
  </headerFooter>
  <colBreaks count="1" manualBreakCount="1">
    <brk id="8" max="1048575" man="1"/>
  </colBreaks>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0">
    <tabColor rgb="FFFFC000"/>
  </sheetPr>
  <dimension ref="B2:H23"/>
  <sheetViews>
    <sheetView topLeftCell="A13" zoomScale="140" zoomScaleNormal="140" zoomScaleSheetLayoutView="100" workbookViewId="0">
      <selection activeCell="C27" sqref="C27:G27"/>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36" t="s">
        <v>377</v>
      </c>
      <c r="C2" s="437"/>
      <c r="D2" s="437"/>
      <c r="E2" s="437"/>
      <c r="F2" s="437"/>
      <c r="G2" s="437"/>
      <c r="H2" s="438"/>
    </row>
    <row r="3" spans="2:8" ht="26.25" customHeight="1" x14ac:dyDescent="0.25">
      <c r="B3" s="55" t="s">
        <v>0</v>
      </c>
      <c r="C3" s="390" t="s">
        <v>374</v>
      </c>
      <c r="D3" s="390"/>
      <c r="E3" s="390" t="s">
        <v>375</v>
      </c>
      <c r="F3" s="390"/>
      <c r="G3" s="390"/>
      <c r="H3" s="39"/>
    </row>
    <row r="4" spans="2:8" ht="31.5" customHeight="1" x14ac:dyDescent="0.25">
      <c r="B4" s="54"/>
      <c r="C4" s="39" t="s">
        <v>1</v>
      </c>
      <c r="D4" s="37" t="s">
        <v>2</v>
      </c>
      <c r="E4" s="56" t="s">
        <v>1</v>
      </c>
      <c r="F4" s="37" t="s">
        <v>2</v>
      </c>
      <c r="G4" s="39" t="s">
        <v>21</v>
      </c>
      <c r="H4" s="39" t="s">
        <v>123</v>
      </c>
    </row>
    <row r="5" spans="2:8" ht="33.75" customHeight="1" x14ac:dyDescent="0.25">
      <c r="B5" s="52" t="s">
        <v>46</v>
      </c>
      <c r="C5" s="496" t="s">
        <v>848</v>
      </c>
      <c r="D5" s="496"/>
      <c r="E5" s="496" t="s">
        <v>847</v>
      </c>
      <c r="F5" s="496"/>
      <c r="G5" s="133"/>
      <c r="H5" s="133"/>
    </row>
    <row r="6" spans="2:8" x14ac:dyDescent="0.25">
      <c r="B6" s="37" t="s">
        <v>47</v>
      </c>
      <c r="C6" s="133"/>
      <c r="D6" s="133" t="s">
        <v>850</v>
      </c>
      <c r="E6" s="150"/>
      <c r="F6" s="133" t="s">
        <v>850</v>
      </c>
      <c r="G6" s="133"/>
      <c r="H6" s="133"/>
    </row>
    <row r="7" spans="2:8" ht="22.5" x14ac:dyDescent="0.25">
      <c r="B7" s="37" t="s">
        <v>48</v>
      </c>
      <c r="C7" s="219" t="str">
        <f>IF(C6="","",IF(C6&lt;300,82%,IF(C6&gt;2500,82%,80%)))</f>
        <v/>
      </c>
      <c r="D7" s="133" t="str">
        <f>IF(C6="","",IF(C6&lt;300,"AFUE",IF(C6&gt;2500,"Ec","Et")))</f>
        <v/>
      </c>
      <c r="E7" s="150" t="s">
        <v>849</v>
      </c>
      <c r="F7" s="133" t="s">
        <v>412</v>
      </c>
      <c r="G7" s="133"/>
      <c r="H7" s="133"/>
    </row>
    <row r="8" spans="2:8" ht="36" customHeight="1" x14ac:dyDescent="0.25">
      <c r="B8" s="37" t="s">
        <v>49</v>
      </c>
      <c r="C8" s="133" t="s">
        <v>854</v>
      </c>
      <c r="D8" s="39" t="s">
        <v>30</v>
      </c>
      <c r="E8" s="133" t="s">
        <v>852</v>
      </c>
      <c r="F8" s="39" t="s">
        <v>30</v>
      </c>
      <c r="G8" s="133"/>
      <c r="H8" s="133"/>
    </row>
    <row r="9" spans="2:8" ht="21.75" customHeight="1" x14ac:dyDescent="0.25">
      <c r="B9" s="37" t="s">
        <v>50</v>
      </c>
      <c r="C9" s="133">
        <v>50</v>
      </c>
      <c r="D9" s="39" t="s">
        <v>30</v>
      </c>
      <c r="E9" s="133">
        <v>40</v>
      </c>
      <c r="F9" s="39" t="s">
        <v>30</v>
      </c>
      <c r="G9" s="133"/>
      <c r="H9" s="133"/>
    </row>
    <row r="10" spans="2:8" ht="24" customHeight="1" x14ac:dyDescent="0.25">
      <c r="B10" s="37" t="s">
        <v>51</v>
      </c>
      <c r="C10" s="496" t="s">
        <v>853</v>
      </c>
      <c r="D10" s="496"/>
      <c r="E10" s="496" t="s">
        <v>851</v>
      </c>
      <c r="F10" s="496"/>
      <c r="G10" s="133"/>
      <c r="H10" s="133"/>
    </row>
    <row r="11" spans="2:8" ht="24" customHeight="1" x14ac:dyDescent="0.25">
      <c r="B11" s="37" t="s">
        <v>52</v>
      </c>
      <c r="C11" s="496"/>
      <c r="D11" s="496"/>
      <c r="E11" s="496" t="s">
        <v>855</v>
      </c>
      <c r="F11" s="496"/>
      <c r="G11" s="133"/>
      <c r="H11" s="133"/>
    </row>
    <row r="12" spans="2:8" ht="36" customHeight="1" x14ac:dyDescent="0.25">
      <c r="B12" s="37" t="s">
        <v>378</v>
      </c>
      <c r="C12" s="133"/>
      <c r="D12" s="39" t="s">
        <v>33</v>
      </c>
      <c r="E12" s="133"/>
      <c r="F12" s="39" t="s">
        <v>33</v>
      </c>
      <c r="G12" s="133"/>
      <c r="H12" s="133"/>
    </row>
    <row r="13" spans="2:8" ht="24" customHeight="1" x14ac:dyDescent="0.25">
      <c r="B13" s="37" t="s">
        <v>379</v>
      </c>
      <c r="C13" s="133"/>
      <c r="D13" s="133"/>
      <c r="E13" s="133">
        <v>19</v>
      </c>
      <c r="F13" s="133" t="s">
        <v>856</v>
      </c>
      <c r="G13" s="133"/>
      <c r="H13" s="133"/>
    </row>
    <row r="14" spans="2:8" ht="15" customHeight="1" x14ac:dyDescent="0.25">
      <c r="B14" s="37" t="s">
        <v>380</v>
      </c>
      <c r="C14" s="133"/>
      <c r="D14" s="39" t="s">
        <v>34</v>
      </c>
      <c r="E14" s="133"/>
      <c r="F14" s="39" t="s">
        <v>34</v>
      </c>
      <c r="G14" s="133"/>
      <c r="H14" s="133"/>
    </row>
    <row r="15" spans="2:8" ht="24" customHeight="1" x14ac:dyDescent="0.25">
      <c r="B15" s="37" t="s">
        <v>381</v>
      </c>
      <c r="C15" s="496"/>
      <c r="D15" s="496"/>
      <c r="E15" s="496" t="str">
        <f>IF(E12="","",IF('SCA Exec Summary'!D26&gt;120000,"Variable speed drives; two-way valves on coils","Ride pump curve; two-way valves on coils"))</f>
        <v/>
      </c>
      <c r="F15" s="496"/>
      <c r="G15" s="133"/>
      <c r="H15" s="133"/>
    </row>
    <row r="16" spans="2:8" ht="24" customHeight="1" x14ac:dyDescent="0.25">
      <c r="B16" s="37" t="s">
        <v>382</v>
      </c>
      <c r="C16" s="133"/>
      <c r="D16" s="39" t="s">
        <v>33</v>
      </c>
      <c r="E16" s="133"/>
      <c r="F16" s="39" t="s">
        <v>33</v>
      </c>
      <c r="G16" s="133"/>
      <c r="H16" s="133"/>
    </row>
    <row r="17" spans="2:8" ht="24" customHeight="1" x14ac:dyDescent="0.25">
      <c r="B17" s="37" t="s">
        <v>383</v>
      </c>
      <c r="C17" s="133"/>
      <c r="D17" s="133"/>
      <c r="E17" s="133"/>
      <c r="F17" s="133"/>
      <c r="G17" s="133"/>
      <c r="H17" s="133"/>
    </row>
    <row r="18" spans="2:8" ht="15" customHeight="1" x14ac:dyDescent="0.25">
      <c r="B18" s="37" t="s">
        <v>384</v>
      </c>
      <c r="C18" s="133"/>
      <c r="D18" s="39" t="s">
        <v>34</v>
      </c>
      <c r="E18" s="133"/>
      <c r="F18" s="39" t="s">
        <v>34</v>
      </c>
      <c r="G18" s="133"/>
      <c r="H18" s="133"/>
    </row>
    <row r="19" spans="2:8" ht="23.25" customHeight="1" x14ac:dyDescent="0.25">
      <c r="B19" s="37" t="s">
        <v>385</v>
      </c>
      <c r="C19" s="496"/>
      <c r="D19" s="496"/>
      <c r="E19" s="496"/>
      <c r="F19" s="496"/>
      <c r="G19" s="133"/>
      <c r="H19" s="133"/>
    </row>
    <row r="20" spans="2:8" x14ac:dyDescent="0.25">
      <c r="B20" s="49" t="s">
        <v>353</v>
      </c>
      <c r="C20" s="154"/>
      <c r="D20" s="134"/>
      <c r="E20" s="154"/>
      <c r="F20" s="134"/>
      <c r="G20" s="133"/>
      <c r="H20" s="133"/>
    </row>
    <row r="21" spans="2:8" x14ac:dyDescent="0.25">
      <c r="B21" s="49" t="s">
        <v>353</v>
      </c>
      <c r="C21" s="154"/>
      <c r="D21" s="134"/>
      <c r="E21" s="154"/>
      <c r="F21" s="134"/>
      <c r="G21" s="133"/>
      <c r="H21" s="133"/>
    </row>
    <row r="22" spans="2:8" x14ac:dyDescent="0.25">
      <c r="B22" s="49" t="s">
        <v>353</v>
      </c>
      <c r="C22" s="154"/>
      <c r="D22" s="134"/>
      <c r="E22" s="154"/>
      <c r="F22" s="134"/>
      <c r="G22" s="133"/>
      <c r="H22" s="133"/>
    </row>
    <row r="23" spans="2:8" x14ac:dyDescent="0.25">
      <c r="B23" s="49" t="s">
        <v>353</v>
      </c>
      <c r="C23" s="154"/>
      <c r="D23" s="134"/>
      <c r="E23" s="154"/>
      <c r="F23" s="134"/>
      <c r="G23" s="133"/>
      <c r="H23" s="133"/>
    </row>
  </sheetData>
  <sheetProtection password="C5B9" sheet="1" objects="1" scenarios="1"/>
  <mergeCells count="13">
    <mergeCell ref="C10:D10"/>
    <mergeCell ref="E10:F10"/>
    <mergeCell ref="B2:H2"/>
    <mergeCell ref="C3:D3"/>
    <mergeCell ref="E3:G3"/>
    <mergeCell ref="C5:D5"/>
    <mergeCell ref="E5:F5"/>
    <mergeCell ref="C11:D11"/>
    <mergeCell ref="E11:F11"/>
    <mergeCell ref="C15:D15"/>
    <mergeCell ref="E15:F15"/>
    <mergeCell ref="C19:D19"/>
    <mergeCell ref="E19:F19"/>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1">
    <tabColor rgb="FFFFC000"/>
  </sheetPr>
  <dimension ref="B2:H22"/>
  <sheetViews>
    <sheetView topLeftCell="A8" zoomScaleNormal="100" zoomScaleSheetLayoutView="85" workbookViewId="0">
      <selection activeCell="C27" sqref="C27:G27"/>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36" t="s">
        <v>431</v>
      </c>
      <c r="C2" s="437"/>
      <c r="D2" s="437"/>
      <c r="E2" s="437"/>
      <c r="F2" s="437"/>
      <c r="G2" s="437"/>
      <c r="H2" s="438"/>
    </row>
    <row r="3" spans="2:8" ht="26.25" customHeight="1" x14ac:dyDescent="0.25">
      <c r="B3" s="55" t="s">
        <v>0</v>
      </c>
      <c r="C3" s="390" t="s">
        <v>374</v>
      </c>
      <c r="D3" s="390"/>
      <c r="E3" s="390" t="s">
        <v>375</v>
      </c>
      <c r="F3" s="390"/>
      <c r="G3" s="390"/>
      <c r="H3" s="39"/>
    </row>
    <row r="4" spans="2:8" ht="31.5" customHeight="1" x14ac:dyDescent="0.25">
      <c r="B4" s="54"/>
      <c r="C4" s="39" t="s">
        <v>1</v>
      </c>
      <c r="D4" s="37" t="s">
        <v>2</v>
      </c>
      <c r="E4" s="56" t="s">
        <v>1</v>
      </c>
      <c r="F4" s="37" t="s">
        <v>2</v>
      </c>
      <c r="G4" s="39" t="s">
        <v>21</v>
      </c>
      <c r="H4" s="39" t="s">
        <v>123</v>
      </c>
    </row>
    <row r="5" spans="2:8" ht="33.75" customHeight="1" x14ac:dyDescent="0.25">
      <c r="B5" s="52" t="s">
        <v>386</v>
      </c>
      <c r="C5" s="390" t="s">
        <v>401</v>
      </c>
      <c r="D5" s="390"/>
      <c r="E5" s="496"/>
      <c r="F5" s="496"/>
      <c r="G5" s="133"/>
      <c r="H5" s="133"/>
    </row>
    <row r="6" spans="2:8" ht="24" customHeight="1" x14ac:dyDescent="0.25">
      <c r="B6" s="37" t="s">
        <v>387</v>
      </c>
      <c r="C6" s="390" t="s">
        <v>401</v>
      </c>
      <c r="D6" s="390"/>
      <c r="E6" s="150"/>
      <c r="F6" s="133"/>
      <c r="G6" s="133"/>
      <c r="H6" s="133"/>
    </row>
    <row r="7" spans="2:8" ht="28.5" customHeight="1" x14ac:dyDescent="0.25">
      <c r="B7" s="37" t="s">
        <v>388</v>
      </c>
      <c r="C7" s="390" t="s">
        <v>401</v>
      </c>
      <c r="D7" s="390"/>
      <c r="E7" s="150"/>
      <c r="F7" s="39" t="s">
        <v>30</v>
      </c>
      <c r="G7" s="133"/>
      <c r="H7" s="133"/>
    </row>
    <row r="8" spans="2:8" ht="36" customHeight="1" x14ac:dyDescent="0.25">
      <c r="B8" s="37" t="s">
        <v>389</v>
      </c>
      <c r="C8" s="390" t="s">
        <v>401</v>
      </c>
      <c r="D8" s="390"/>
      <c r="E8" s="150"/>
      <c r="F8" s="39" t="s">
        <v>30</v>
      </c>
      <c r="G8" s="133"/>
      <c r="H8" s="133"/>
    </row>
    <row r="9" spans="2:8" ht="21.75" customHeight="1" x14ac:dyDescent="0.25">
      <c r="B9" s="37" t="s">
        <v>390</v>
      </c>
      <c r="C9" s="390" t="s">
        <v>401</v>
      </c>
      <c r="D9" s="390"/>
      <c r="E9" s="150"/>
      <c r="F9" s="39" t="s">
        <v>30</v>
      </c>
      <c r="G9" s="133"/>
      <c r="H9" s="133"/>
    </row>
    <row r="10" spans="2:8" ht="24" customHeight="1" x14ac:dyDescent="0.25">
      <c r="B10" s="37" t="s">
        <v>391</v>
      </c>
      <c r="C10" s="390" t="s">
        <v>401</v>
      </c>
      <c r="D10" s="390"/>
      <c r="E10" s="150"/>
      <c r="F10" s="39" t="s">
        <v>30</v>
      </c>
      <c r="G10" s="133"/>
      <c r="H10" s="133"/>
    </row>
    <row r="11" spans="2:8" ht="24" customHeight="1" x14ac:dyDescent="0.25">
      <c r="B11" s="37" t="s">
        <v>392</v>
      </c>
      <c r="C11" s="390" t="s">
        <v>401</v>
      </c>
      <c r="D11" s="390"/>
      <c r="E11" s="496"/>
      <c r="F11" s="496"/>
      <c r="G11" s="133"/>
      <c r="H11" s="133"/>
    </row>
    <row r="12" spans="2:8" ht="36" customHeight="1" x14ac:dyDescent="0.25">
      <c r="B12" s="37" t="s">
        <v>393</v>
      </c>
      <c r="C12" s="390" t="s">
        <v>401</v>
      </c>
      <c r="D12" s="390"/>
      <c r="E12" s="520"/>
      <c r="F12" s="521"/>
      <c r="G12" s="133"/>
      <c r="H12" s="133"/>
    </row>
    <row r="13" spans="2:8" ht="24" customHeight="1" x14ac:dyDescent="0.25">
      <c r="B13" s="37" t="s">
        <v>394</v>
      </c>
      <c r="C13" s="390" t="s">
        <v>401</v>
      </c>
      <c r="D13" s="390"/>
      <c r="E13" s="150"/>
      <c r="F13" s="133"/>
      <c r="G13" s="133"/>
      <c r="H13" s="133"/>
    </row>
    <row r="14" spans="2:8" ht="23.25" customHeight="1" x14ac:dyDescent="0.25">
      <c r="B14" s="37" t="s">
        <v>395</v>
      </c>
      <c r="C14" s="390" t="s">
        <v>401</v>
      </c>
      <c r="D14" s="390"/>
      <c r="E14" s="150"/>
      <c r="F14" s="39" t="s">
        <v>33</v>
      </c>
      <c r="G14" s="133"/>
      <c r="H14" s="133"/>
    </row>
    <row r="15" spans="2:8" ht="15" customHeight="1" x14ac:dyDescent="0.25">
      <c r="B15" s="37" t="s">
        <v>396</v>
      </c>
      <c r="C15" s="390" t="s">
        <v>401</v>
      </c>
      <c r="D15" s="390"/>
      <c r="E15" s="496"/>
      <c r="F15" s="496"/>
      <c r="G15" s="133"/>
      <c r="H15" s="133"/>
    </row>
    <row r="16" spans="2:8" ht="24" customHeight="1" x14ac:dyDescent="0.25">
      <c r="B16" s="37" t="s">
        <v>397</v>
      </c>
      <c r="C16" s="390" t="s">
        <v>401</v>
      </c>
      <c r="D16" s="390"/>
      <c r="E16" s="150"/>
      <c r="F16" s="39" t="s">
        <v>400</v>
      </c>
      <c r="G16" s="133"/>
      <c r="H16" s="133"/>
    </row>
    <row r="17" spans="2:8" ht="24" customHeight="1" x14ac:dyDescent="0.25">
      <c r="B17" s="37" t="s">
        <v>398</v>
      </c>
      <c r="C17" s="390" t="s">
        <v>401</v>
      </c>
      <c r="D17" s="390"/>
      <c r="E17" s="150"/>
      <c r="F17" s="39" t="s">
        <v>34</v>
      </c>
      <c r="G17" s="133"/>
      <c r="H17" s="133"/>
    </row>
    <row r="18" spans="2:8" ht="24" customHeight="1" x14ac:dyDescent="0.25">
      <c r="B18" s="37" t="s">
        <v>399</v>
      </c>
      <c r="C18" s="390" t="s">
        <v>401</v>
      </c>
      <c r="D18" s="390"/>
      <c r="E18" s="150"/>
      <c r="F18" s="133"/>
      <c r="G18" s="133"/>
      <c r="H18" s="133"/>
    </row>
    <row r="19" spans="2:8" x14ac:dyDescent="0.25">
      <c r="B19" s="37" t="s">
        <v>353</v>
      </c>
      <c r="C19" s="390" t="s">
        <v>401</v>
      </c>
      <c r="D19" s="390"/>
      <c r="E19" s="496"/>
      <c r="F19" s="496"/>
      <c r="G19" s="133"/>
      <c r="H19" s="133"/>
    </row>
    <row r="20" spans="2:8" x14ac:dyDescent="0.25">
      <c r="B20" s="49" t="s">
        <v>353</v>
      </c>
      <c r="C20" s="390" t="s">
        <v>401</v>
      </c>
      <c r="D20" s="390"/>
      <c r="E20" s="154"/>
      <c r="F20" s="134"/>
      <c r="G20" s="133"/>
      <c r="H20" s="133"/>
    </row>
    <row r="21" spans="2:8" x14ac:dyDescent="0.25">
      <c r="B21" s="49" t="s">
        <v>353</v>
      </c>
      <c r="C21" s="390" t="s">
        <v>401</v>
      </c>
      <c r="D21" s="390"/>
      <c r="E21" s="154"/>
      <c r="F21" s="134"/>
      <c r="G21" s="133"/>
      <c r="H21" s="133"/>
    </row>
    <row r="22" spans="2:8" x14ac:dyDescent="0.25">
      <c r="B22" s="49" t="s">
        <v>353</v>
      </c>
      <c r="C22" s="390" t="s">
        <v>401</v>
      </c>
      <c r="D22" s="390"/>
      <c r="E22" s="154"/>
      <c r="F22" s="134"/>
      <c r="G22" s="133"/>
      <c r="H22" s="133"/>
    </row>
  </sheetData>
  <sheetProtection password="C5B9" sheet="1" objects="1" scenarios="1"/>
  <mergeCells count="26">
    <mergeCell ref="B2:H2"/>
    <mergeCell ref="C3:D3"/>
    <mergeCell ref="E3:G3"/>
    <mergeCell ref="C5:D5"/>
    <mergeCell ref="E5:F5"/>
    <mergeCell ref="E11:F11"/>
    <mergeCell ref="C15:D15"/>
    <mergeCell ref="E15:F15"/>
    <mergeCell ref="C19:D19"/>
    <mergeCell ref="E19:F19"/>
    <mergeCell ref="E12:F12"/>
    <mergeCell ref="C14:D14"/>
    <mergeCell ref="C13:D13"/>
    <mergeCell ref="C12:D12"/>
    <mergeCell ref="C6:D6"/>
    <mergeCell ref="C20:D20"/>
    <mergeCell ref="C21:D21"/>
    <mergeCell ref="C22:D22"/>
    <mergeCell ref="C18:D18"/>
    <mergeCell ref="C17:D17"/>
    <mergeCell ref="C16:D16"/>
    <mergeCell ref="C11:D11"/>
    <mergeCell ref="C10:D10"/>
    <mergeCell ref="C9:D9"/>
    <mergeCell ref="C8:D8"/>
    <mergeCell ref="C7:D7"/>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2">
    <tabColor rgb="FFFFC000"/>
  </sheetPr>
  <dimension ref="B2:H18"/>
  <sheetViews>
    <sheetView view="pageLayout" topLeftCell="A8" zoomScaleNormal="100" zoomScaleSheetLayoutView="85" workbookViewId="0">
      <selection activeCell="C27" sqref="C27:G27"/>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36" t="s">
        <v>413</v>
      </c>
      <c r="C2" s="437"/>
      <c r="D2" s="437"/>
      <c r="E2" s="437"/>
      <c r="F2" s="437"/>
      <c r="G2" s="437"/>
      <c r="H2" s="438"/>
    </row>
    <row r="3" spans="2:8" ht="26.25" customHeight="1" x14ac:dyDescent="0.25">
      <c r="B3" s="55" t="s">
        <v>0</v>
      </c>
      <c r="C3" s="390" t="s">
        <v>374</v>
      </c>
      <c r="D3" s="390"/>
      <c r="E3" s="390" t="s">
        <v>375</v>
      </c>
      <c r="F3" s="390"/>
      <c r="G3" s="390"/>
      <c r="H3" s="39"/>
    </row>
    <row r="4" spans="2:8" ht="31.5" customHeight="1" x14ac:dyDescent="0.25">
      <c r="B4" s="54"/>
      <c r="C4" s="39" t="s">
        <v>1</v>
      </c>
      <c r="D4" s="37" t="s">
        <v>2</v>
      </c>
      <c r="E4" s="56" t="s">
        <v>1</v>
      </c>
      <c r="F4" s="37" t="s">
        <v>2</v>
      </c>
      <c r="G4" s="39" t="s">
        <v>21</v>
      </c>
      <c r="H4" s="39" t="s">
        <v>123</v>
      </c>
    </row>
    <row r="5" spans="2:8" ht="33.75" customHeight="1" x14ac:dyDescent="0.25">
      <c r="B5" s="57" t="s">
        <v>402</v>
      </c>
      <c r="C5" s="545" t="s">
        <v>401</v>
      </c>
      <c r="D5" s="545"/>
      <c r="E5" s="546"/>
      <c r="F5" s="546"/>
      <c r="G5" s="155"/>
      <c r="H5" s="155"/>
    </row>
    <row r="6" spans="2:8" ht="24" customHeight="1" x14ac:dyDescent="0.25">
      <c r="B6" s="57" t="s">
        <v>403</v>
      </c>
      <c r="C6" s="545" t="s">
        <v>401</v>
      </c>
      <c r="D6" s="545"/>
      <c r="E6" s="546"/>
      <c r="F6" s="546"/>
      <c r="G6" s="155"/>
      <c r="H6" s="155"/>
    </row>
    <row r="7" spans="2:8" ht="28.5" customHeight="1" x14ac:dyDescent="0.25">
      <c r="B7" s="57" t="s">
        <v>404</v>
      </c>
      <c r="C7" s="545" t="s">
        <v>401</v>
      </c>
      <c r="D7" s="545"/>
      <c r="E7" s="156"/>
      <c r="F7" s="57" t="s">
        <v>16</v>
      </c>
      <c r="G7" s="155"/>
      <c r="H7" s="155"/>
    </row>
    <row r="8" spans="2:8" ht="36" customHeight="1" x14ac:dyDescent="0.25">
      <c r="B8" s="57" t="s">
        <v>405</v>
      </c>
      <c r="C8" s="545" t="s">
        <v>401</v>
      </c>
      <c r="D8" s="545"/>
      <c r="E8" s="156"/>
      <c r="F8" s="57" t="s">
        <v>412</v>
      </c>
      <c r="G8" s="155"/>
      <c r="H8" s="155"/>
    </row>
    <row r="9" spans="2:8" ht="21.75" customHeight="1" x14ac:dyDescent="0.25">
      <c r="B9" s="57" t="s">
        <v>406</v>
      </c>
      <c r="C9" s="545" t="s">
        <v>401</v>
      </c>
      <c r="D9" s="545"/>
      <c r="E9" s="156"/>
      <c r="F9" s="57" t="s">
        <v>412</v>
      </c>
      <c r="G9" s="155"/>
      <c r="H9" s="155"/>
    </row>
    <row r="10" spans="2:8" ht="24" customHeight="1" x14ac:dyDescent="0.25">
      <c r="B10" s="57" t="s">
        <v>407</v>
      </c>
      <c r="C10" s="545" t="s">
        <v>401</v>
      </c>
      <c r="D10" s="545"/>
      <c r="E10" s="546"/>
      <c r="F10" s="546"/>
      <c r="G10" s="155"/>
      <c r="H10" s="155"/>
    </row>
    <row r="11" spans="2:8" ht="24" customHeight="1" x14ac:dyDescent="0.25">
      <c r="B11" s="57" t="s">
        <v>408</v>
      </c>
      <c r="C11" s="545" t="s">
        <v>401</v>
      </c>
      <c r="D11" s="545"/>
      <c r="E11" s="546"/>
      <c r="F11" s="546"/>
      <c r="G11" s="155"/>
      <c r="H11" s="155"/>
    </row>
    <row r="12" spans="2:8" ht="36" customHeight="1" x14ac:dyDescent="0.25">
      <c r="B12" s="57" t="s">
        <v>409</v>
      </c>
      <c r="C12" s="545" t="s">
        <v>401</v>
      </c>
      <c r="D12" s="545"/>
      <c r="E12" s="547"/>
      <c r="F12" s="548"/>
      <c r="G12" s="155"/>
      <c r="H12" s="155"/>
    </row>
    <row r="13" spans="2:8" ht="33" customHeight="1" x14ac:dyDescent="0.25">
      <c r="B13" s="57" t="s">
        <v>410</v>
      </c>
      <c r="C13" s="545" t="s">
        <v>401</v>
      </c>
      <c r="D13" s="545"/>
      <c r="E13" s="546"/>
      <c r="F13" s="546"/>
      <c r="G13" s="155"/>
      <c r="H13" s="155"/>
    </row>
    <row r="14" spans="2:8" ht="23.25" customHeight="1" x14ac:dyDescent="0.25">
      <c r="B14" s="57" t="s">
        <v>411</v>
      </c>
      <c r="C14" s="545" t="s">
        <v>401</v>
      </c>
      <c r="D14" s="545"/>
      <c r="E14" s="546"/>
      <c r="F14" s="546"/>
      <c r="G14" s="155"/>
      <c r="H14" s="155"/>
    </row>
    <row r="15" spans="2:8" x14ac:dyDescent="0.25">
      <c r="B15" s="51" t="s">
        <v>353</v>
      </c>
      <c r="C15" s="545" t="s">
        <v>401</v>
      </c>
      <c r="D15" s="545"/>
      <c r="E15" s="546"/>
      <c r="F15" s="546"/>
      <c r="G15" s="155"/>
      <c r="H15" s="155"/>
    </row>
    <row r="16" spans="2:8" x14ac:dyDescent="0.25">
      <c r="B16" s="58" t="s">
        <v>353</v>
      </c>
      <c r="C16" s="545" t="s">
        <v>401</v>
      </c>
      <c r="D16" s="545"/>
      <c r="E16" s="546"/>
      <c r="F16" s="546"/>
      <c r="G16" s="155"/>
      <c r="H16" s="155"/>
    </row>
    <row r="17" spans="2:8" x14ac:dyDescent="0.25">
      <c r="B17" s="58" t="s">
        <v>353</v>
      </c>
      <c r="C17" s="545" t="s">
        <v>401</v>
      </c>
      <c r="D17" s="545"/>
      <c r="E17" s="546"/>
      <c r="F17" s="546"/>
      <c r="G17" s="155"/>
      <c r="H17" s="155"/>
    </row>
    <row r="18" spans="2:8" x14ac:dyDescent="0.25">
      <c r="B18" s="58" t="s">
        <v>353</v>
      </c>
      <c r="C18" s="545" t="s">
        <v>401</v>
      </c>
      <c r="D18" s="545"/>
      <c r="E18" s="546"/>
      <c r="F18" s="546"/>
      <c r="G18" s="155"/>
      <c r="H18" s="155"/>
    </row>
  </sheetData>
  <sheetProtection password="C5B9" sheet="1" objects="1" scenarios="1"/>
  <mergeCells count="28">
    <mergeCell ref="E11:F11"/>
    <mergeCell ref="B2:H2"/>
    <mergeCell ref="C3:D3"/>
    <mergeCell ref="E3:G3"/>
    <mergeCell ref="C5:D5"/>
    <mergeCell ref="E5:F5"/>
    <mergeCell ref="C6:D6"/>
    <mergeCell ref="C7:D7"/>
    <mergeCell ref="C8:D8"/>
    <mergeCell ref="C9:D9"/>
    <mergeCell ref="C10:D10"/>
    <mergeCell ref="C11:D11"/>
    <mergeCell ref="C17:D17"/>
    <mergeCell ref="C18:D18"/>
    <mergeCell ref="E6:F6"/>
    <mergeCell ref="E10:F10"/>
    <mergeCell ref="E13:F13"/>
    <mergeCell ref="E14:F14"/>
    <mergeCell ref="E16:F16"/>
    <mergeCell ref="E17:F17"/>
    <mergeCell ref="E18:F18"/>
    <mergeCell ref="C15:D15"/>
    <mergeCell ref="E15:F15"/>
    <mergeCell ref="C16:D16"/>
    <mergeCell ref="C12:D12"/>
    <mergeCell ref="E12:F12"/>
    <mergeCell ref="C13:D13"/>
    <mergeCell ref="C14:D14"/>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2:D41"/>
  <sheetViews>
    <sheetView workbookViewId="0">
      <selection activeCell="J31" sqref="J31"/>
    </sheetView>
  </sheetViews>
  <sheetFormatPr defaultRowHeight="15" x14ac:dyDescent="0.25"/>
  <cols>
    <col min="2" max="2" width="33.140625" customWidth="1"/>
    <col min="3" max="3" width="13.7109375" customWidth="1"/>
    <col min="4" max="4" width="15.140625" style="229" customWidth="1"/>
  </cols>
  <sheetData>
    <row r="2" spans="1:2" x14ac:dyDescent="0.25">
      <c r="A2" t="s">
        <v>825</v>
      </c>
    </row>
    <row r="3" spans="1:2" x14ac:dyDescent="0.25">
      <c r="B3" t="s">
        <v>823</v>
      </c>
    </row>
    <row r="4" spans="1:2" x14ac:dyDescent="0.25">
      <c r="B4" t="s">
        <v>824</v>
      </c>
    </row>
    <row r="5" spans="1:2" x14ac:dyDescent="0.25">
      <c r="B5" t="s">
        <v>826</v>
      </c>
    </row>
    <row r="6" spans="1:2" x14ac:dyDescent="0.25">
      <c r="B6" t="s">
        <v>827</v>
      </c>
    </row>
    <row r="7" spans="1:2" x14ac:dyDescent="0.25">
      <c r="B7" t="s">
        <v>828</v>
      </c>
    </row>
    <row r="8" spans="1:2" x14ac:dyDescent="0.25">
      <c r="B8" t="s">
        <v>829</v>
      </c>
    </row>
    <row r="9" spans="1:2" x14ac:dyDescent="0.25">
      <c r="B9" t="s">
        <v>830</v>
      </c>
    </row>
    <row r="10" spans="1:2" x14ac:dyDescent="0.25">
      <c r="B10" t="s">
        <v>831</v>
      </c>
    </row>
    <row r="11" spans="1:2" x14ac:dyDescent="0.25">
      <c r="B11" t="s">
        <v>832</v>
      </c>
    </row>
    <row r="12" spans="1:2" x14ac:dyDescent="0.25">
      <c r="B12" t="s">
        <v>946</v>
      </c>
    </row>
    <row r="13" spans="1:2" x14ac:dyDescent="0.25">
      <c r="B13" t="s">
        <v>857</v>
      </c>
    </row>
    <row r="14" spans="1:2" x14ac:dyDescent="0.25">
      <c r="B14" t="s">
        <v>833</v>
      </c>
    </row>
    <row r="16" spans="1:2" x14ac:dyDescent="0.25">
      <c r="A16" t="s">
        <v>834</v>
      </c>
    </row>
    <row r="17" spans="1:4" x14ac:dyDescent="0.25">
      <c r="B17" s="63" t="s">
        <v>433</v>
      </c>
    </row>
    <row r="18" spans="1:4" x14ac:dyDescent="0.25">
      <c r="B18" s="64" t="s">
        <v>434</v>
      </c>
    </row>
    <row r="19" spans="1:4" x14ac:dyDescent="0.25">
      <c r="B19" s="217" t="s">
        <v>838</v>
      </c>
    </row>
    <row r="20" spans="1:4" x14ac:dyDescent="0.25">
      <c r="B20" s="65" t="s">
        <v>435</v>
      </c>
    </row>
    <row r="21" spans="1:4" x14ac:dyDescent="0.25">
      <c r="B21" s="66" t="s">
        <v>835</v>
      </c>
    </row>
    <row r="23" spans="1:4" x14ac:dyDescent="0.25">
      <c r="A23" t="s">
        <v>979</v>
      </c>
    </row>
    <row r="24" spans="1:4" x14ac:dyDescent="0.25">
      <c r="A24" t="s">
        <v>943</v>
      </c>
    </row>
    <row r="28" spans="1:4" x14ac:dyDescent="0.25">
      <c r="B28" t="s">
        <v>837</v>
      </c>
    </row>
    <row r="29" spans="1:4" x14ac:dyDescent="0.25">
      <c r="B29" t="s">
        <v>859</v>
      </c>
    </row>
    <row r="30" spans="1:4" x14ac:dyDescent="0.25">
      <c r="B30" t="s">
        <v>871</v>
      </c>
    </row>
    <row r="32" spans="1:4" x14ac:dyDescent="0.25">
      <c r="B32" s="226" t="s">
        <v>862</v>
      </c>
      <c r="C32" s="226"/>
      <c r="D32" s="230"/>
    </row>
    <row r="33" spans="1:4" ht="18" x14ac:dyDescent="0.25">
      <c r="B33" s="227" t="s">
        <v>863</v>
      </c>
      <c r="C33" s="225">
        <v>8.4680000000000005E-2</v>
      </c>
      <c r="D33" s="228" t="s">
        <v>864</v>
      </c>
    </row>
    <row r="34" spans="1:4" ht="18" x14ac:dyDescent="0.25">
      <c r="B34" s="227" t="s">
        <v>865</v>
      </c>
      <c r="C34" s="225">
        <v>5.3109999999999997E-2</v>
      </c>
      <c r="D34" s="228" t="s">
        <v>864</v>
      </c>
    </row>
    <row r="35" spans="1:4" ht="18" x14ac:dyDescent="0.25">
      <c r="B35" s="227" t="s">
        <v>866</v>
      </c>
      <c r="C35" s="225">
        <v>7.4209999999999998E-2</v>
      </c>
      <c r="D35" s="228" t="s">
        <v>864</v>
      </c>
    </row>
    <row r="36" spans="1:4" ht="18" x14ac:dyDescent="0.25">
      <c r="B36" s="227" t="s">
        <v>867</v>
      </c>
      <c r="C36" s="225">
        <v>7.5289999999999996E-2</v>
      </c>
      <c r="D36" s="228" t="s">
        <v>864</v>
      </c>
    </row>
    <row r="37" spans="1:4" ht="18" x14ac:dyDescent="0.25">
      <c r="B37" s="227" t="s">
        <v>868</v>
      </c>
      <c r="C37" s="225">
        <v>7.2929999999999995E-2</v>
      </c>
      <c r="D37" s="228" t="s">
        <v>864</v>
      </c>
    </row>
    <row r="38" spans="1:4" ht="18" x14ac:dyDescent="0.25">
      <c r="B38" s="227" t="s">
        <v>869</v>
      </c>
      <c r="C38" s="225">
        <v>7.51E-2</v>
      </c>
      <c r="D38" s="228" t="s">
        <v>864</v>
      </c>
    </row>
    <row r="39" spans="1:4" ht="18" x14ac:dyDescent="0.25">
      <c r="B39" s="227" t="s">
        <v>870</v>
      </c>
      <c r="C39" s="225">
        <v>4.4929999999999998E-2</v>
      </c>
      <c r="D39" s="228" t="s">
        <v>864</v>
      </c>
    </row>
    <row r="41" spans="1:4" x14ac:dyDescent="0.25">
      <c r="A41" t="s">
        <v>839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59999389629810485"/>
  </sheetPr>
  <dimension ref="A1:S121"/>
  <sheetViews>
    <sheetView topLeftCell="A97" workbookViewId="0">
      <selection activeCell="J31" sqref="J31"/>
    </sheetView>
  </sheetViews>
  <sheetFormatPr defaultRowHeight="15" x14ac:dyDescent="0.25"/>
  <cols>
    <col min="1" max="1" width="35.85546875" bestFit="1" customWidth="1"/>
    <col min="3" max="3" width="8.7109375" customWidth="1"/>
    <col min="13" max="13" width="14.28515625" bestFit="1" customWidth="1"/>
  </cols>
  <sheetData>
    <row r="1" spans="1:19" x14ac:dyDescent="0.25">
      <c r="A1" t="s">
        <v>149</v>
      </c>
      <c r="M1">
        <v>40</v>
      </c>
      <c r="N1" t="s">
        <v>202</v>
      </c>
      <c r="P1" t="s">
        <v>16</v>
      </c>
      <c r="Q1" t="s">
        <v>33</v>
      </c>
      <c r="R1" t="s">
        <v>16</v>
      </c>
    </row>
    <row r="2" spans="1:19" x14ac:dyDescent="0.25">
      <c r="A2" t="s">
        <v>150</v>
      </c>
      <c r="N2" t="s">
        <v>203</v>
      </c>
      <c r="P2" t="s">
        <v>333</v>
      </c>
      <c r="Q2" t="s">
        <v>345</v>
      </c>
      <c r="R2" t="s">
        <v>323</v>
      </c>
    </row>
    <row r="3" spans="1:19" x14ac:dyDescent="0.25">
      <c r="A3" t="s">
        <v>195</v>
      </c>
    </row>
    <row r="4" spans="1:19" x14ac:dyDescent="0.25">
      <c r="B4" t="s">
        <v>149</v>
      </c>
      <c r="C4" t="s">
        <v>150</v>
      </c>
      <c r="D4" t="s">
        <v>195</v>
      </c>
      <c r="G4" t="s">
        <v>149</v>
      </c>
      <c r="H4" t="s">
        <v>150</v>
      </c>
      <c r="I4" t="s">
        <v>195</v>
      </c>
      <c r="N4" t="s">
        <v>558</v>
      </c>
      <c r="P4" t="s">
        <v>334</v>
      </c>
      <c r="Q4" t="s">
        <v>355</v>
      </c>
      <c r="R4" t="s">
        <v>357</v>
      </c>
      <c r="S4" t="s">
        <v>338</v>
      </c>
    </row>
    <row r="5" spans="1:19" x14ac:dyDescent="0.25">
      <c r="A5" t="s">
        <v>151</v>
      </c>
      <c r="B5" t="s">
        <v>453</v>
      </c>
      <c r="C5" t="s">
        <v>453</v>
      </c>
      <c r="D5" t="s">
        <v>454</v>
      </c>
      <c r="F5" t="s">
        <v>151</v>
      </c>
      <c r="G5" t="s">
        <v>563</v>
      </c>
      <c r="H5" t="s">
        <v>563</v>
      </c>
      <c r="I5" t="s">
        <v>564</v>
      </c>
      <c r="N5" t="s">
        <v>559</v>
      </c>
      <c r="P5" t="s">
        <v>335</v>
      </c>
      <c r="Q5" t="s">
        <v>26</v>
      </c>
      <c r="R5" t="s">
        <v>358</v>
      </c>
      <c r="S5" t="s">
        <v>359</v>
      </c>
    </row>
    <row r="6" spans="1:19" ht="18" x14ac:dyDescent="0.35">
      <c r="A6" t="s">
        <v>455</v>
      </c>
      <c r="B6" t="s">
        <v>456</v>
      </c>
      <c r="C6" t="s">
        <v>456</v>
      </c>
      <c r="D6" t="s">
        <v>457</v>
      </c>
      <c r="F6" t="s">
        <v>455</v>
      </c>
      <c r="G6" t="s">
        <v>563</v>
      </c>
      <c r="H6" t="s">
        <v>563</v>
      </c>
      <c r="I6" t="s">
        <v>564</v>
      </c>
      <c r="P6" t="s">
        <v>336</v>
      </c>
      <c r="Q6" t="s">
        <v>16</v>
      </c>
      <c r="S6" t="s">
        <v>360</v>
      </c>
    </row>
    <row r="7" spans="1:19" x14ac:dyDescent="0.25">
      <c r="A7" t="s">
        <v>458</v>
      </c>
      <c r="B7" t="s">
        <v>153</v>
      </c>
      <c r="C7" t="s">
        <v>153</v>
      </c>
      <c r="D7" t="s">
        <v>459</v>
      </c>
      <c r="F7" t="s">
        <v>458</v>
      </c>
      <c r="G7" t="s">
        <v>563</v>
      </c>
      <c r="H7" t="s">
        <v>563</v>
      </c>
      <c r="I7" t="s">
        <v>564</v>
      </c>
      <c r="P7" t="s">
        <v>337</v>
      </c>
      <c r="Q7" t="s">
        <v>356</v>
      </c>
      <c r="S7" t="s">
        <v>337</v>
      </c>
    </row>
    <row r="8" spans="1:19" x14ac:dyDescent="0.25">
      <c r="A8" t="s">
        <v>152</v>
      </c>
      <c r="B8" t="s">
        <v>460</v>
      </c>
      <c r="C8" t="s">
        <v>461</v>
      </c>
      <c r="D8" t="s">
        <v>460</v>
      </c>
      <c r="F8" t="s">
        <v>152</v>
      </c>
      <c r="G8" t="s">
        <v>563</v>
      </c>
      <c r="H8" t="s">
        <v>563</v>
      </c>
      <c r="I8" t="s">
        <v>564</v>
      </c>
      <c r="S8" t="s">
        <v>361</v>
      </c>
    </row>
    <row r="10" spans="1:19" x14ac:dyDescent="0.25">
      <c r="B10" t="s">
        <v>149</v>
      </c>
      <c r="C10" t="s">
        <v>150</v>
      </c>
      <c r="D10" t="s">
        <v>195</v>
      </c>
      <c r="G10" t="s">
        <v>149</v>
      </c>
      <c r="H10" t="s">
        <v>150</v>
      </c>
      <c r="I10" t="s">
        <v>195</v>
      </c>
    </row>
    <row r="11" spans="1:19" x14ac:dyDescent="0.25">
      <c r="A11" t="s">
        <v>151</v>
      </c>
      <c r="B11">
        <v>0.4</v>
      </c>
      <c r="C11">
        <v>0.4</v>
      </c>
      <c r="D11" t="s">
        <v>432</v>
      </c>
      <c r="F11" t="s">
        <v>151</v>
      </c>
      <c r="G11">
        <v>0.39</v>
      </c>
      <c r="H11">
        <v>0.39</v>
      </c>
      <c r="I11" t="s">
        <v>432</v>
      </c>
      <c r="M11" t="s">
        <v>452</v>
      </c>
      <c r="N11">
        <v>0.57999999999999996</v>
      </c>
    </row>
    <row r="12" spans="1:19" x14ac:dyDescent="0.25">
      <c r="A12" t="s">
        <v>455</v>
      </c>
      <c r="B12">
        <v>0.4</v>
      </c>
      <c r="C12">
        <v>0.4</v>
      </c>
      <c r="D12" t="s">
        <v>432</v>
      </c>
      <c r="F12" t="s">
        <v>455</v>
      </c>
      <c r="G12">
        <v>0.39</v>
      </c>
      <c r="H12">
        <v>0.39</v>
      </c>
      <c r="I12" t="s">
        <v>432</v>
      </c>
      <c r="M12" t="s">
        <v>448</v>
      </c>
      <c r="N12">
        <v>0.56999999999999995</v>
      </c>
    </row>
    <row r="13" spans="1:19" x14ac:dyDescent="0.25">
      <c r="A13" t="s">
        <v>458</v>
      </c>
      <c r="B13">
        <v>0.4</v>
      </c>
      <c r="C13">
        <v>0.4</v>
      </c>
      <c r="D13" t="s">
        <v>432</v>
      </c>
      <c r="F13" t="s">
        <v>458</v>
      </c>
      <c r="G13">
        <v>0.39</v>
      </c>
      <c r="H13">
        <v>0.39</v>
      </c>
      <c r="I13" t="s">
        <v>432</v>
      </c>
      <c r="M13" t="s">
        <v>449</v>
      </c>
      <c r="N13">
        <v>0.62</v>
      </c>
    </row>
    <row r="14" spans="1:19" x14ac:dyDescent="0.25">
      <c r="A14" t="s">
        <v>152</v>
      </c>
      <c r="B14">
        <v>0.4</v>
      </c>
      <c r="C14">
        <v>0.4</v>
      </c>
      <c r="D14" t="s">
        <v>432</v>
      </c>
      <c r="F14" t="s">
        <v>152</v>
      </c>
      <c r="G14">
        <v>0.39</v>
      </c>
      <c r="H14">
        <v>0.39</v>
      </c>
      <c r="I14" t="s">
        <v>432</v>
      </c>
      <c r="M14" t="s">
        <v>222</v>
      </c>
      <c r="N14">
        <v>0.78</v>
      </c>
    </row>
    <row r="15" spans="1:19" x14ac:dyDescent="0.25">
      <c r="M15" t="s">
        <v>224</v>
      </c>
      <c r="N15">
        <v>0.57999999999999996</v>
      </c>
    </row>
    <row r="16" spans="1:19" x14ac:dyDescent="0.25">
      <c r="A16" t="s">
        <v>565</v>
      </c>
      <c r="B16" t="s">
        <v>149</v>
      </c>
      <c r="C16" t="s">
        <v>150</v>
      </c>
      <c r="D16" t="s">
        <v>195</v>
      </c>
      <c r="F16" t="s">
        <v>565</v>
      </c>
      <c r="G16" t="s">
        <v>149</v>
      </c>
      <c r="H16" t="s">
        <v>150</v>
      </c>
      <c r="I16" t="s">
        <v>195</v>
      </c>
      <c r="M16" t="s">
        <v>450</v>
      </c>
      <c r="N16">
        <v>0.57999999999999996</v>
      </c>
    </row>
    <row r="17" spans="1:14" x14ac:dyDescent="0.25">
      <c r="A17" t="s">
        <v>566</v>
      </c>
      <c r="B17" t="s">
        <v>153</v>
      </c>
      <c r="C17" t="s">
        <v>153</v>
      </c>
      <c r="D17" t="s">
        <v>462</v>
      </c>
      <c r="F17" t="s">
        <v>566</v>
      </c>
      <c r="G17" t="s">
        <v>568</v>
      </c>
      <c r="H17" t="s">
        <v>191</v>
      </c>
      <c r="I17" t="s">
        <v>569</v>
      </c>
      <c r="M17" t="s">
        <v>230</v>
      </c>
      <c r="N17">
        <v>0.55000000000000004</v>
      </c>
    </row>
    <row r="18" spans="1:14" x14ac:dyDescent="0.25">
      <c r="A18" t="s">
        <v>567</v>
      </c>
      <c r="B18" t="s">
        <v>153</v>
      </c>
      <c r="C18" t="s">
        <v>153</v>
      </c>
      <c r="D18" t="s">
        <v>462</v>
      </c>
      <c r="F18" t="s">
        <v>567</v>
      </c>
      <c r="G18" t="s">
        <v>568</v>
      </c>
      <c r="H18" t="s">
        <v>191</v>
      </c>
      <c r="I18" t="s">
        <v>569</v>
      </c>
      <c r="M18" t="s">
        <v>451</v>
      </c>
      <c r="N18">
        <v>0.49</v>
      </c>
    </row>
    <row r="19" spans="1:14" x14ac:dyDescent="0.25">
      <c r="M19" t="s">
        <v>235</v>
      </c>
      <c r="N19">
        <v>0.57999999999999996</v>
      </c>
    </row>
    <row r="20" spans="1:14" x14ac:dyDescent="0.25">
      <c r="A20" t="s">
        <v>565</v>
      </c>
      <c r="B20" t="s">
        <v>149</v>
      </c>
      <c r="C20" t="s">
        <v>150</v>
      </c>
      <c r="D20" t="s">
        <v>195</v>
      </c>
      <c r="F20" t="s">
        <v>565</v>
      </c>
      <c r="G20" t="s">
        <v>149</v>
      </c>
      <c r="H20" t="s">
        <v>150</v>
      </c>
      <c r="I20" t="s">
        <v>195</v>
      </c>
    </row>
    <row r="21" spans="1:14" x14ac:dyDescent="0.25">
      <c r="A21" t="s">
        <v>566</v>
      </c>
      <c r="B21">
        <v>0.4</v>
      </c>
      <c r="C21">
        <v>0.4</v>
      </c>
      <c r="D21" t="s">
        <v>432</v>
      </c>
      <c r="F21" t="s">
        <v>566</v>
      </c>
      <c r="G21">
        <v>0.49</v>
      </c>
      <c r="H21">
        <v>0.36</v>
      </c>
      <c r="I21" t="s">
        <v>432</v>
      </c>
    </row>
    <row r="22" spans="1:14" x14ac:dyDescent="0.25">
      <c r="A22" t="s">
        <v>567</v>
      </c>
      <c r="B22">
        <v>0.4</v>
      </c>
      <c r="C22">
        <v>0.4</v>
      </c>
      <c r="D22" t="s">
        <v>432</v>
      </c>
      <c r="F22" t="s">
        <v>567</v>
      </c>
      <c r="G22">
        <v>0.39</v>
      </c>
      <c r="H22">
        <v>0.19</v>
      </c>
      <c r="I22" t="s">
        <v>432</v>
      </c>
      <c r="M22" t="s">
        <v>601</v>
      </c>
      <c r="N22">
        <v>7</v>
      </c>
    </row>
    <row r="23" spans="1:14" x14ac:dyDescent="0.25">
      <c r="M23" t="s">
        <v>602</v>
      </c>
      <c r="N23">
        <v>21</v>
      </c>
    </row>
    <row r="24" spans="1:14" x14ac:dyDescent="0.25">
      <c r="B24" t="s">
        <v>149</v>
      </c>
      <c r="C24" t="s">
        <v>150</v>
      </c>
      <c r="D24" t="s">
        <v>195</v>
      </c>
      <c r="G24" t="s">
        <v>149</v>
      </c>
      <c r="H24" t="s">
        <v>150</v>
      </c>
      <c r="I24" t="s">
        <v>195</v>
      </c>
      <c r="M24" t="s">
        <v>218</v>
      </c>
      <c r="N24">
        <v>27</v>
      </c>
    </row>
    <row r="25" spans="1:14" x14ac:dyDescent="0.25">
      <c r="A25" t="s">
        <v>169</v>
      </c>
      <c r="B25" t="s">
        <v>463</v>
      </c>
      <c r="C25" t="s">
        <v>463</v>
      </c>
      <c r="D25" t="s">
        <v>464</v>
      </c>
      <c r="F25" t="s">
        <v>169</v>
      </c>
      <c r="G25" t="s">
        <v>570</v>
      </c>
      <c r="H25" t="s">
        <v>570</v>
      </c>
      <c r="I25" t="s">
        <v>571</v>
      </c>
      <c r="M25" t="s">
        <v>603</v>
      </c>
      <c r="N25">
        <v>24</v>
      </c>
    </row>
    <row r="26" spans="1:14" x14ac:dyDescent="0.25">
      <c r="A26" t="s">
        <v>170</v>
      </c>
      <c r="B26" t="s">
        <v>465</v>
      </c>
      <c r="C26" t="s">
        <v>465</v>
      </c>
      <c r="D26" t="s">
        <v>466</v>
      </c>
      <c r="F26" t="s">
        <v>170</v>
      </c>
      <c r="G26" s="62" t="s">
        <v>574</v>
      </c>
      <c r="H26" s="62" t="s">
        <v>574</v>
      </c>
      <c r="I26" s="62" t="s">
        <v>574</v>
      </c>
      <c r="M26" t="s">
        <v>604</v>
      </c>
      <c r="N26">
        <v>34</v>
      </c>
    </row>
    <row r="27" spans="1:14" x14ac:dyDescent="0.25">
      <c r="A27" t="s">
        <v>171</v>
      </c>
      <c r="B27" t="s">
        <v>467</v>
      </c>
      <c r="C27" t="s">
        <v>467</v>
      </c>
      <c r="D27" t="s">
        <v>468</v>
      </c>
      <c r="F27" t="s">
        <v>171</v>
      </c>
      <c r="G27" s="62" t="s">
        <v>574</v>
      </c>
      <c r="H27" s="62" t="s">
        <v>574</v>
      </c>
      <c r="I27" s="62" t="s">
        <v>574</v>
      </c>
      <c r="M27" t="s">
        <v>222</v>
      </c>
    </row>
    <row r="28" spans="1:14" x14ac:dyDescent="0.25">
      <c r="B28" t="s">
        <v>149</v>
      </c>
      <c r="C28" t="s">
        <v>150</v>
      </c>
      <c r="D28" t="s">
        <v>195</v>
      </c>
      <c r="G28" t="s">
        <v>149</v>
      </c>
      <c r="H28" t="s">
        <v>150</v>
      </c>
      <c r="I28" t="s">
        <v>195</v>
      </c>
      <c r="M28" t="s">
        <v>605</v>
      </c>
      <c r="N28">
        <v>19</v>
      </c>
    </row>
    <row r="29" spans="1:14" x14ac:dyDescent="0.25">
      <c r="A29" t="s">
        <v>172</v>
      </c>
      <c r="B29" t="s">
        <v>181</v>
      </c>
      <c r="C29" t="s">
        <v>189</v>
      </c>
      <c r="D29" t="s">
        <v>191</v>
      </c>
      <c r="F29" t="s">
        <v>172</v>
      </c>
      <c r="G29" s="62" t="s">
        <v>574</v>
      </c>
      <c r="H29" s="62" t="s">
        <v>574</v>
      </c>
      <c r="I29" s="62" t="s">
        <v>574</v>
      </c>
      <c r="M29" t="s">
        <v>607</v>
      </c>
      <c r="N29">
        <v>40</v>
      </c>
    </row>
    <row r="30" spans="1:14" x14ac:dyDescent="0.25">
      <c r="A30" t="s">
        <v>170</v>
      </c>
      <c r="B30" t="s">
        <v>469</v>
      </c>
      <c r="C30" t="s">
        <v>470</v>
      </c>
      <c r="D30" t="s">
        <v>471</v>
      </c>
      <c r="F30" t="s">
        <v>170</v>
      </c>
      <c r="G30" s="62" t="s">
        <v>574</v>
      </c>
      <c r="H30" s="62" t="s">
        <v>574</v>
      </c>
      <c r="I30" s="62" t="s">
        <v>574</v>
      </c>
      <c r="M30" t="s">
        <v>606</v>
      </c>
      <c r="N30">
        <v>31</v>
      </c>
    </row>
    <row r="31" spans="1:14" x14ac:dyDescent="0.25">
      <c r="A31" t="s">
        <v>173</v>
      </c>
      <c r="B31" t="s">
        <v>182</v>
      </c>
      <c r="C31" t="s">
        <v>182</v>
      </c>
      <c r="D31" t="s">
        <v>192</v>
      </c>
      <c r="F31" t="s">
        <v>173</v>
      </c>
      <c r="G31" t="s">
        <v>192</v>
      </c>
      <c r="H31" t="s">
        <v>182</v>
      </c>
      <c r="I31" t="s">
        <v>192</v>
      </c>
      <c r="M31" t="s">
        <v>615</v>
      </c>
    </row>
    <row r="32" spans="1:14" x14ac:dyDescent="0.25">
      <c r="A32" t="s">
        <v>174</v>
      </c>
      <c r="B32" t="s">
        <v>182</v>
      </c>
      <c r="C32" t="s">
        <v>182</v>
      </c>
      <c r="D32" t="s">
        <v>183</v>
      </c>
      <c r="F32" t="s">
        <v>174</v>
      </c>
      <c r="G32" s="62" t="s">
        <v>574</v>
      </c>
      <c r="H32" s="62" t="s">
        <v>574</v>
      </c>
      <c r="I32" s="62" t="s">
        <v>574</v>
      </c>
      <c r="M32" t="s">
        <v>609</v>
      </c>
      <c r="N32">
        <v>24</v>
      </c>
    </row>
    <row r="33" spans="1:14" x14ac:dyDescent="0.25">
      <c r="B33" t="s">
        <v>149</v>
      </c>
      <c r="C33" t="s">
        <v>150</v>
      </c>
      <c r="D33" t="s">
        <v>195</v>
      </c>
      <c r="G33" t="s">
        <v>149</v>
      </c>
      <c r="H33" t="s">
        <v>150</v>
      </c>
      <c r="I33" t="s">
        <v>195</v>
      </c>
      <c r="M33" t="s">
        <v>608</v>
      </c>
      <c r="N33">
        <v>34</v>
      </c>
    </row>
    <row r="34" spans="1:14" x14ac:dyDescent="0.25">
      <c r="A34" t="s">
        <v>175</v>
      </c>
      <c r="B34" t="s">
        <v>190</v>
      </c>
      <c r="C34" t="s">
        <v>472</v>
      </c>
      <c r="D34" t="s">
        <v>184</v>
      </c>
      <c r="F34" t="s">
        <v>175</v>
      </c>
      <c r="G34" t="s">
        <v>184</v>
      </c>
      <c r="H34" t="s">
        <v>184</v>
      </c>
      <c r="I34" t="s">
        <v>184</v>
      </c>
      <c r="M34" t="s">
        <v>611</v>
      </c>
      <c r="N34">
        <v>20</v>
      </c>
    </row>
    <row r="35" spans="1:14" x14ac:dyDescent="0.25">
      <c r="B35" t="s">
        <v>149</v>
      </c>
      <c r="C35" t="s">
        <v>150</v>
      </c>
      <c r="D35" t="s">
        <v>195</v>
      </c>
      <c r="G35" t="s">
        <v>149</v>
      </c>
      <c r="H35" t="s">
        <v>150</v>
      </c>
      <c r="I35" t="s">
        <v>195</v>
      </c>
      <c r="M35" t="s">
        <v>610</v>
      </c>
      <c r="N35">
        <v>11</v>
      </c>
    </row>
    <row r="36" spans="1:14" x14ac:dyDescent="0.25">
      <c r="A36" t="s">
        <v>172</v>
      </c>
      <c r="B36" t="s">
        <v>473</v>
      </c>
      <c r="C36" t="s">
        <v>474</v>
      </c>
      <c r="D36" t="s">
        <v>475</v>
      </c>
      <c r="F36" t="s">
        <v>172</v>
      </c>
      <c r="G36" s="62" t="s">
        <v>574</v>
      </c>
      <c r="H36" s="62" t="s">
        <v>574</v>
      </c>
      <c r="I36" s="62" t="s">
        <v>574</v>
      </c>
      <c r="M36" t="s">
        <v>612</v>
      </c>
      <c r="N36">
        <v>22</v>
      </c>
    </row>
    <row r="37" spans="1:14" x14ac:dyDescent="0.25">
      <c r="A37" t="s">
        <v>176</v>
      </c>
      <c r="B37" t="s">
        <v>185</v>
      </c>
      <c r="C37" t="s">
        <v>185</v>
      </c>
      <c r="D37" t="s">
        <v>476</v>
      </c>
      <c r="F37" t="s">
        <v>176</v>
      </c>
      <c r="G37" t="s">
        <v>476</v>
      </c>
      <c r="H37" t="s">
        <v>185</v>
      </c>
      <c r="I37" t="s">
        <v>572</v>
      </c>
      <c r="M37" t="s">
        <v>613</v>
      </c>
      <c r="N37">
        <v>22</v>
      </c>
    </row>
    <row r="38" spans="1:14" x14ac:dyDescent="0.25">
      <c r="A38" t="s">
        <v>174</v>
      </c>
      <c r="B38" t="s">
        <v>186</v>
      </c>
      <c r="C38" t="s">
        <v>186</v>
      </c>
      <c r="D38" t="s">
        <v>474</v>
      </c>
      <c r="F38" t="s">
        <v>174</v>
      </c>
      <c r="G38" s="62" t="s">
        <v>574</v>
      </c>
      <c r="H38" s="62" t="s">
        <v>574</v>
      </c>
      <c r="I38" s="62" t="s">
        <v>574</v>
      </c>
      <c r="M38" t="s">
        <v>614</v>
      </c>
      <c r="N38">
        <v>6</v>
      </c>
    </row>
    <row r="39" spans="1:14" x14ac:dyDescent="0.25">
      <c r="B39" t="s">
        <v>149</v>
      </c>
      <c r="C39" t="s">
        <v>150</v>
      </c>
      <c r="D39" t="s">
        <v>195</v>
      </c>
      <c r="G39" t="s">
        <v>149</v>
      </c>
      <c r="H39" t="s">
        <v>150</v>
      </c>
      <c r="I39" t="s">
        <v>195</v>
      </c>
    </row>
    <row r="40" spans="1:14" x14ac:dyDescent="0.25">
      <c r="A40" t="s">
        <v>177</v>
      </c>
      <c r="B40" t="s">
        <v>477</v>
      </c>
      <c r="C40" t="s">
        <v>477</v>
      </c>
      <c r="D40" t="s">
        <v>193</v>
      </c>
      <c r="F40" t="s">
        <v>177</v>
      </c>
      <c r="G40" t="s">
        <v>477</v>
      </c>
      <c r="H40" t="s">
        <v>573</v>
      </c>
      <c r="I40" t="s">
        <v>193</v>
      </c>
    </row>
    <row r="41" spans="1:14" x14ac:dyDescent="0.25">
      <c r="A41" t="s">
        <v>178</v>
      </c>
      <c r="B41" t="s">
        <v>478</v>
      </c>
      <c r="C41" t="s">
        <v>479</v>
      </c>
      <c r="D41" t="s">
        <v>480</v>
      </c>
      <c r="F41" t="s">
        <v>178</v>
      </c>
      <c r="G41" s="62" t="s">
        <v>574</v>
      </c>
      <c r="H41" s="62" t="s">
        <v>574</v>
      </c>
      <c r="I41" s="62" t="s">
        <v>574</v>
      </c>
    </row>
    <row r="42" spans="1:14" x14ac:dyDescent="0.25">
      <c r="B42" t="s">
        <v>149</v>
      </c>
      <c r="C42" t="s">
        <v>150</v>
      </c>
      <c r="D42" t="s">
        <v>195</v>
      </c>
      <c r="G42" t="s">
        <v>149</v>
      </c>
      <c r="H42" t="s">
        <v>150</v>
      </c>
      <c r="I42" t="s">
        <v>195</v>
      </c>
    </row>
    <row r="43" spans="1:14" x14ac:dyDescent="0.25">
      <c r="A43" t="s">
        <v>179</v>
      </c>
      <c r="B43" t="s">
        <v>188</v>
      </c>
      <c r="C43" t="s">
        <v>188</v>
      </c>
      <c r="D43" t="s">
        <v>187</v>
      </c>
      <c r="F43" t="s">
        <v>179</v>
      </c>
      <c r="G43" t="s">
        <v>187</v>
      </c>
      <c r="H43" t="s">
        <v>187</v>
      </c>
      <c r="I43" t="s">
        <v>187</v>
      </c>
    </row>
    <row r="44" spans="1:14" x14ac:dyDescent="0.25">
      <c r="A44" t="s">
        <v>180</v>
      </c>
      <c r="B44" t="s">
        <v>188</v>
      </c>
      <c r="C44" t="s">
        <v>188</v>
      </c>
      <c r="D44" t="s">
        <v>194</v>
      </c>
      <c r="F44" t="s">
        <v>180</v>
      </c>
      <c r="G44" t="s">
        <v>194</v>
      </c>
      <c r="H44" t="s">
        <v>188</v>
      </c>
      <c r="I44" t="s">
        <v>194</v>
      </c>
    </row>
    <row r="48" spans="1:14" x14ac:dyDescent="0.25">
      <c r="A48" t="s">
        <v>590</v>
      </c>
      <c r="B48" t="s">
        <v>550</v>
      </c>
    </row>
    <row r="49" spans="1:2" x14ac:dyDescent="0.25">
      <c r="A49" t="s">
        <v>599</v>
      </c>
      <c r="B49" t="s">
        <v>552</v>
      </c>
    </row>
    <row r="50" spans="1:2" x14ac:dyDescent="0.25">
      <c r="A50" t="s">
        <v>600</v>
      </c>
      <c r="B50" t="s">
        <v>551</v>
      </c>
    </row>
    <row r="51" spans="1:2" x14ac:dyDescent="0.25">
      <c r="A51" t="s">
        <v>591</v>
      </c>
      <c r="B51" t="s">
        <v>550</v>
      </c>
    </row>
    <row r="52" spans="1:2" x14ac:dyDescent="0.25">
      <c r="A52" t="s">
        <v>592</v>
      </c>
      <c r="B52" t="s">
        <v>550</v>
      </c>
    </row>
    <row r="53" spans="1:2" x14ac:dyDescent="0.25">
      <c r="A53" t="s">
        <v>593</v>
      </c>
      <c r="B53" t="s">
        <v>550</v>
      </c>
    </row>
    <row r="54" spans="1:2" x14ac:dyDescent="0.25">
      <c r="A54" t="s">
        <v>594</v>
      </c>
      <c r="B54" t="s">
        <v>551</v>
      </c>
    </row>
    <row r="55" spans="1:2" x14ac:dyDescent="0.25">
      <c r="A55" t="s">
        <v>595</v>
      </c>
      <c r="B55" t="s">
        <v>551</v>
      </c>
    </row>
    <row r="56" spans="1:2" x14ac:dyDescent="0.25">
      <c r="A56" t="s">
        <v>596</v>
      </c>
      <c r="B56" t="s">
        <v>551</v>
      </c>
    </row>
    <row r="57" spans="1:2" x14ac:dyDescent="0.25">
      <c r="A57" t="s">
        <v>597</v>
      </c>
      <c r="B57" t="s">
        <v>552</v>
      </c>
    </row>
    <row r="58" spans="1:2" x14ac:dyDescent="0.25">
      <c r="A58" t="s">
        <v>598</v>
      </c>
      <c r="B58" t="s">
        <v>551</v>
      </c>
    </row>
    <row r="67" spans="1:3" x14ac:dyDescent="0.25">
      <c r="A67" t="s">
        <v>586</v>
      </c>
      <c r="B67" t="s">
        <v>580</v>
      </c>
      <c r="C67" t="s">
        <v>363</v>
      </c>
    </row>
    <row r="68" spans="1:3" x14ac:dyDescent="0.25">
      <c r="A68" t="s">
        <v>589</v>
      </c>
      <c r="B68" t="s">
        <v>577</v>
      </c>
      <c r="C68" t="s">
        <v>363</v>
      </c>
    </row>
    <row r="69" spans="1:3" x14ac:dyDescent="0.25">
      <c r="A69" t="s">
        <v>588</v>
      </c>
      <c r="B69" t="s">
        <v>578</v>
      </c>
      <c r="C69" t="s">
        <v>550</v>
      </c>
    </row>
    <row r="70" spans="1:3" x14ac:dyDescent="0.25">
      <c r="A70" t="s">
        <v>585</v>
      </c>
      <c r="B70" t="s">
        <v>579</v>
      </c>
      <c r="C70" t="s">
        <v>550</v>
      </c>
    </row>
    <row r="71" spans="1:3" x14ac:dyDescent="0.25">
      <c r="A71" t="s">
        <v>584</v>
      </c>
      <c r="B71" t="s">
        <v>578</v>
      </c>
      <c r="C71" t="s">
        <v>550</v>
      </c>
    </row>
    <row r="72" spans="1:3" x14ac:dyDescent="0.25">
      <c r="A72" t="s">
        <v>582</v>
      </c>
      <c r="B72" t="s">
        <v>577</v>
      </c>
      <c r="C72" t="s">
        <v>363</v>
      </c>
    </row>
    <row r="73" spans="1:3" x14ac:dyDescent="0.25">
      <c r="A73" t="s">
        <v>583</v>
      </c>
      <c r="B73" t="s">
        <v>581</v>
      </c>
      <c r="C73" t="s">
        <v>363</v>
      </c>
    </row>
    <row r="74" spans="1:3" x14ac:dyDescent="0.25">
      <c r="A74" t="s">
        <v>150</v>
      </c>
      <c r="B74" t="s">
        <v>576</v>
      </c>
      <c r="C74" t="s">
        <v>363</v>
      </c>
    </row>
    <row r="75" spans="1:3" x14ac:dyDescent="0.25">
      <c r="A75" t="s">
        <v>587</v>
      </c>
      <c r="B75" t="s">
        <v>577</v>
      </c>
      <c r="C75" t="s">
        <v>363</v>
      </c>
    </row>
    <row r="78" spans="1:3" x14ac:dyDescent="0.25">
      <c r="B78" t="s">
        <v>576</v>
      </c>
      <c r="C78" t="s">
        <v>363</v>
      </c>
    </row>
    <row r="79" spans="1:3" x14ac:dyDescent="0.25">
      <c r="B79" t="s">
        <v>581</v>
      </c>
      <c r="C79" t="s">
        <v>363</v>
      </c>
    </row>
    <row r="80" spans="1:3" x14ac:dyDescent="0.25">
      <c r="B80" t="s">
        <v>577</v>
      </c>
      <c r="C80" t="s">
        <v>363</v>
      </c>
    </row>
    <row r="81" spans="1:3" x14ac:dyDescent="0.25">
      <c r="B81" t="s">
        <v>577</v>
      </c>
      <c r="C81" t="s">
        <v>363</v>
      </c>
    </row>
    <row r="82" spans="1:3" x14ac:dyDescent="0.25">
      <c r="B82" t="s">
        <v>577</v>
      </c>
      <c r="C82" t="s">
        <v>363</v>
      </c>
    </row>
    <row r="83" spans="1:3" x14ac:dyDescent="0.25">
      <c r="B83" t="s">
        <v>578</v>
      </c>
      <c r="C83" t="s">
        <v>550</v>
      </c>
    </row>
    <row r="84" spans="1:3" x14ac:dyDescent="0.25">
      <c r="B84" t="s">
        <v>578</v>
      </c>
      <c r="C84" t="s">
        <v>550</v>
      </c>
    </row>
    <row r="85" spans="1:3" x14ac:dyDescent="0.25">
      <c r="B85" t="s">
        <v>579</v>
      </c>
      <c r="C85" t="s">
        <v>550</v>
      </c>
    </row>
    <row r="86" spans="1:3" x14ac:dyDescent="0.25">
      <c r="B86" t="s">
        <v>580</v>
      </c>
      <c r="C86" t="s">
        <v>363</v>
      </c>
    </row>
    <row r="89" spans="1:3" x14ac:dyDescent="0.25">
      <c r="A89" s="6" t="s">
        <v>617</v>
      </c>
      <c r="B89" t="s">
        <v>616</v>
      </c>
    </row>
    <row r="90" spans="1:3" x14ac:dyDescent="0.25">
      <c r="A90" s="6" t="s">
        <v>208</v>
      </c>
      <c r="B90" t="s">
        <v>616</v>
      </c>
    </row>
    <row r="91" spans="1:3" x14ac:dyDescent="0.25">
      <c r="A91" s="6" t="s">
        <v>209</v>
      </c>
      <c r="B91" t="s">
        <v>618</v>
      </c>
    </row>
    <row r="92" spans="1:3" x14ac:dyDescent="0.25">
      <c r="A92" s="6" t="s">
        <v>210</v>
      </c>
      <c r="B92" t="s">
        <v>618</v>
      </c>
    </row>
    <row r="93" spans="1:3" x14ac:dyDescent="0.25">
      <c r="A93" s="6" t="s">
        <v>211</v>
      </c>
      <c r="B93" t="s">
        <v>616</v>
      </c>
    </row>
    <row r="94" spans="1:3" x14ac:dyDescent="0.25">
      <c r="A94" s="6" t="s">
        <v>212</v>
      </c>
      <c r="B94" t="s">
        <v>616</v>
      </c>
    </row>
    <row r="95" spans="1:3" x14ac:dyDescent="0.25">
      <c r="A95" s="6" t="s">
        <v>213</v>
      </c>
      <c r="B95" t="s">
        <v>616</v>
      </c>
    </row>
    <row r="96" spans="1:3" x14ac:dyDescent="0.25">
      <c r="A96" s="6" t="s">
        <v>214</v>
      </c>
      <c r="B96" t="s">
        <v>616</v>
      </c>
    </row>
    <row r="97" spans="1:2" x14ac:dyDescent="0.25">
      <c r="A97" s="6" t="s">
        <v>215</v>
      </c>
      <c r="B97" t="s">
        <v>616</v>
      </c>
    </row>
    <row r="98" spans="1:2" x14ac:dyDescent="0.25">
      <c r="A98" s="6" t="s">
        <v>248</v>
      </c>
      <c r="B98" t="s">
        <v>616</v>
      </c>
    </row>
    <row r="99" spans="1:2" x14ac:dyDescent="0.25">
      <c r="A99" s="6" t="s">
        <v>216</v>
      </c>
      <c r="B99" t="s">
        <v>616</v>
      </c>
    </row>
    <row r="100" spans="1:2" x14ac:dyDescent="0.25">
      <c r="A100" s="6" t="s">
        <v>217</v>
      </c>
      <c r="B100" t="s">
        <v>616</v>
      </c>
    </row>
    <row r="101" spans="1:2" x14ac:dyDescent="0.25">
      <c r="A101" s="6" t="s">
        <v>218</v>
      </c>
      <c r="B101" t="s">
        <v>616</v>
      </c>
    </row>
    <row r="102" spans="1:2" x14ac:dyDescent="0.25">
      <c r="A102" s="6" t="s">
        <v>482</v>
      </c>
      <c r="B102" t="s">
        <v>616</v>
      </c>
    </row>
    <row r="103" spans="1:2" x14ac:dyDescent="0.25">
      <c r="A103" s="6" t="s">
        <v>219</v>
      </c>
      <c r="B103" t="s">
        <v>618</v>
      </c>
    </row>
    <row r="104" spans="1:2" x14ac:dyDescent="0.25">
      <c r="A104" s="6" t="s">
        <v>220</v>
      </c>
      <c r="B104" t="s">
        <v>616</v>
      </c>
    </row>
    <row r="105" spans="1:2" x14ac:dyDescent="0.25">
      <c r="A105" s="6" t="s">
        <v>221</v>
      </c>
      <c r="B105" t="s">
        <v>618</v>
      </c>
    </row>
    <row r="106" spans="1:2" x14ac:dyDescent="0.25">
      <c r="A106" s="6" t="s">
        <v>222</v>
      </c>
      <c r="B106" t="s">
        <v>616</v>
      </c>
    </row>
    <row r="107" spans="1:2" x14ac:dyDescent="0.25">
      <c r="A107" s="6" t="s">
        <v>223</v>
      </c>
      <c r="B107" t="s">
        <v>618</v>
      </c>
    </row>
    <row r="108" spans="1:2" x14ac:dyDescent="0.25">
      <c r="A108" s="6" t="s">
        <v>224</v>
      </c>
      <c r="B108" t="s">
        <v>618</v>
      </c>
    </row>
    <row r="109" spans="1:2" x14ac:dyDescent="0.25">
      <c r="A109" s="6" t="s">
        <v>225</v>
      </c>
      <c r="B109" t="s">
        <v>618</v>
      </c>
    </row>
    <row r="110" spans="1:2" x14ac:dyDescent="0.25">
      <c r="A110" s="6" t="s">
        <v>226</v>
      </c>
      <c r="B110" t="s">
        <v>616</v>
      </c>
    </row>
    <row r="111" spans="1:2" x14ac:dyDescent="0.25">
      <c r="A111" s="6" t="s">
        <v>227</v>
      </c>
      <c r="B111" t="s">
        <v>616</v>
      </c>
    </row>
    <row r="112" spans="1:2" x14ac:dyDescent="0.25">
      <c r="A112" s="6" t="s">
        <v>249</v>
      </c>
      <c r="B112" t="s">
        <v>618</v>
      </c>
    </row>
    <row r="113" spans="1:2" x14ac:dyDescent="0.25">
      <c r="A113" s="6" t="s">
        <v>228</v>
      </c>
      <c r="B113" t="s">
        <v>618</v>
      </c>
    </row>
    <row r="114" spans="1:2" x14ac:dyDescent="0.25">
      <c r="A114" s="6" t="s">
        <v>229</v>
      </c>
      <c r="B114" t="s">
        <v>618</v>
      </c>
    </row>
    <row r="115" spans="1:2" x14ac:dyDescent="0.25">
      <c r="A115" s="6" t="s">
        <v>230</v>
      </c>
      <c r="B115" t="s">
        <v>618</v>
      </c>
    </row>
    <row r="116" spans="1:2" x14ac:dyDescent="0.25">
      <c r="A116" s="6" t="s">
        <v>231</v>
      </c>
      <c r="B116" t="s">
        <v>616</v>
      </c>
    </row>
    <row r="117" spans="1:2" x14ac:dyDescent="0.25">
      <c r="A117" s="6" t="s">
        <v>232</v>
      </c>
      <c r="B117" t="s">
        <v>616</v>
      </c>
    </row>
    <row r="118" spans="1:2" x14ac:dyDescent="0.25">
      <c r="A118" s="6" t="s">
        <v>233</v>
      </c>
      <c r="B118" t="s">
        <v>618</v>
      </c>
    </row>
    <row r="119" spans="1:2" x14ac:dyDescent="0.25">
      <c r="A119" s="6" t="s">
        <v>234</v>
      </c>
      <c r="B119" t="s">
        <v>618</v>
      </c>
    </row>
    <row r="120" spans="1:2" x14ac:dyDescent="0.25">
      <c r="A120" s="6" t="s">
        <v>235</v>
      </c>
      <c r="B120" t="s">
        <v>618</v>
      </c>
    </row>
    <row r="121" spans="1:2" x14ac:dyDescent="0.25">
      <c r="A121" s="6" t="s">
        <v>56</v>
      </c>
      <c r="B121" t="s">
        <v>616</v>
      </c>
    </row>
  </sheetData>
  <sheetProtection password="C5B9" sheet="1" objects="1" scenarios="1"/>
  <sortState xmlns:xlrd2="http://schemas.microsoft.com/office/spreadsheetml/2017/richdata2" ref="A89:B121">
    <sortCondition ref="A8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tabColor theme="7"/>
  </sheetPr>
  <dimension ref="A1:J111"/>
  <sheetViews>
    <sheetView zoomScaleNormal="100" workbookViewId="0">
      <selection activeCell="J31" sqref="J31"/>
    </sheetView>
  </sheetViews>
  <sheetFormatPr defaultRowHeight="15" x14ac:dyDescent="0.25"/>
  <cols>
    <col min="1" max="1" width="47.140625" bestFit="1" customWidth="1"/>
    <col min="2" max="2" width="5.28515625" style="2" customWidth="1"/>
    <col min="4" max="4" width="48.140625" bestFit="1" customWidth="1"/>
    <col min="5" max="5" width="5.42578125" bestFit="1" customWidth="1"/>
  </cols>
  <sheetData>
    <row r="1" spans="1:10" ht="103.15" customHeight="1" x14ac:dyDescent="0.25">
      <c r="A1" s="5" t="s">
        <v>206</v>
      </c>
      <c r="B1" s="8" t="s">
        <v>207</v>
      </c>
    </row>
    <row r="2" spans="1:10" x14ac:dyDescent="0.25">
      <c r="A2" s="6" t="s">
        <v>250</v>
      </c>
      <c r="B2" s="9"/>
      <c r="J2" t="s">
        <v>873</v>
      </c>
    </row>
    <row r="3" spans="1:10" x14ac:dyDescent="0.25">
      <c r="A3" s="6" t="s">
        <v>251</v>
      </c>
      <c r="B3" s="9"/>
      <c r="J3" t="s">
        <v>874</v>
      </c>
    </row>
    <row r="4" spans="1:10" x14ac:dyDescent="0.25">
      <c r="A4" s="6" t="s">
        <v>488</v>
      </c>
      <c r="B4" s="9">
        <v>0.79</v>
      </c>
    </row>
    <row r="5" spans="1:10" x14ac:dyDescent="0.25">
      <c r="A5" s="6" t="s">
        <v>252</v>
      </c>
      <c r="B5" s="9">
        <v>0.79</v>
      </c>
    </row>
    <row r="6" spans="1:10" x14ac:dyDescent="0.25">
      <c r="A6" s="6" t="s">
        <v>483</v>
      </c>
      <c r="B6" s="9">
        <v>0.82</v>
      </c>
    </row>
    <row r="7" spans="1:10" x14ac:dyDescent="0.25">
      <c r="A7" s="6" t="s">
        <v>553</v>
      </c>
      <c r="B7" s="9">
        <v>0.43</v>
      </c>
    </row>
    <row r="8" spans="1:10" x14ac:dyDescent="0.25">
      <c r="A8" s="6" t="s">
        <v>484</v>
      </c>
      <c r="B8" s="9">
        <v>0.43</v>
      </c>
    </row>
    <row r="9" spans="1:10" x14ac:dyDescent="0.25">
      <c r="A9" s="6" t="s">
        <v>254</v>
      </c>
      <c r="B9" s="9">
        <v>1.1399999999999999</v>
      </c>
    </row>
    <row r="10" spans="1:10" x14ac:dyDescent="0.25">
      <c r="A10" s="6" t="s">
        <v>485</v>
      </c>
      <c r="B10" s="9">
        <v>0.43</v>
      </c>
    </row>
    <row r="11" spans="1:10" x14ac:dyDescent="0.25">
      <c r="A11" s="6" t="s">
        <v>253</v>
      </c>
      <c r="B11" s="9">
        <v>2.4300000000000002</v>
      </c>
    </row>
    <row r="12" spans="1:10" x14ac:dyDescent="0.25">
      <c r="A12" s="6" t="s">
        <v>486</v>
      </c>
      <c r="B12" s="9">
        <v>1.53</v>
      </c>
    </row>
    <row r="13" spans="1:10" x14ac:dyDescent="0.25">
      <c r="A13" s="6" t="s">
        <v>487</v>
      </c>
      <c r="B13" s="9">
        <v>0.43</v>
      </c>
    </row>
    <row r="14" spans="1:10" x14ac:dyDescent="0.25">
      <c r="A14" s="6" t="s">
        <v>554</v>
      </c>
      <c r="B14" s="9">
        <v>0.54</v>
      </c>
    </row>
    <row r="15" spans="1:10" x14ac:dyDescent="0.25">
      <c r="A15" s="6" t="s">
        <v>529</v>
      </c>
      <c r="B15" s="9">
        <v>0.67</v>
      </c>
    </row>
    <row r="16" spans="1:10" x14ac:dyDescent="0.25">
      <c r="A16" s="6" t="s">
        <v>489</v>
      </c>
      <c r="B16" s="9">
        <v>1.38</v>
      </c>
    </row>
    <row r="17" spans="1:5" x14ac:dyDescent="0.25">
      <c r="A17" s="6" t="s">
        <v>555</v>
      </c>
      <c r="B17" s="9">
        <v>1.24</v>
      </c>
    </row>
    <row r="18" spans="1:5" x14ac:dyDescent="0.25">
      <c r="A18" s="6" t="s">
        <v>490</v>
      </c>
      <c r="B18" s="9">
        <v>1.34</v>
      </c>
    </row>
    <row r="19" spans="1:5" x14ac:dyDescent="0.25">
      <c r="A19" s="6" t="s">
        <v>496</v>
      </c>
      <c r="B19" s="177">
        <v>1.24</v>
      </c>
      <c r="D19" s="218" t="s">
        <v>842</v>
      </c>
      <c r="E19" s="218">
        <v>1.24</v>
      </c>
    </row>
    <row r="20" spans="1:5" x14ac:dyDescent="0.25">
      <c r="A20" s="7" t="s">
        <v>255</v>
      </c>
      <c r="B20" s="9">
        <v>1.23</v>
      </c>
    </row>
    <row r="21" spans="1:5" x14ac:dyDescent="0.25">
      <c r="A21" s="7" t="s">
        <v>238</v>
      </c>
      <c r="B21" s="9">
        <v>1.1000000000000001</v>
      </c>
    </row>
    <row r="22" spans="1:5" x14ac:dyDescent="0.25">
      <c r="A22" s="6" t="s">
        <v>240</v>
      </c>
      <c r="B22" s="9">
        <v>1.45</v>
      </c>
    </row>
    <row r="23" spans="1:5" x14ac:dyDescent="0.25">
      <c r="A23" s="7" t="s">
        <v>491</v>
      </c>
      <c r="B23" s="177">
        <v>1.1100000000000001</v>
      </c>
      <c r="D23" s="218" t="s">
        <v>841</v>
      </c>
      <c r="E23" s="218">
        <v>1.1100000000000001</v>
      </c>
    </row>
    <row r="24" spans="1:5" x14ac:dyDescent="0.25">
      <c r="A24" s="6" t="s">
        <v>495</v>
      </c>
      <c r="B24" s="9">
        <v>0.66</v>
      </c>
    </row>
    <row r="25" spans="1:5" x14ac:dyDescent="0.25">
      <c r="A25" s="7" t="s">
        <v>492</v>
      </c>
      <c r="B25" s="9">
        <v>0.66</v>
      </c>
    </row>
    <row r="26" spans="1:5" x14ac:dyDescent="0.25">
      <c r="A26" s="7" t="s">
        <v>493</v>
      </c>
      <c r="B26" s="9">
        <v>0.89</v>
      </c>
    </row>
    <row r="27" spans="1:5" x14ac:dyDescent="0.25">
      <c r="A27" s="7" t="s">
        <v>494</v>
      </c>
      <c r="B27" s="9">
        <v>0.41</v>
      </c>
    </row>
    <row r="28" spans="1:5" x14ac:dyDescent="0.25">
      <c r="A28" s="6" t="s">
        <v>237</v>
      </c>
      <c r="B28" s="9">
        <v>1.72</v>
      </c>
    </row>
    <row r="29" spans="1:5" x14ac:dyDescent="0.25">
      <c r="A29" s="6" t="s">
        <v>502</v>
      </c>
      <c r="B29" s="9">
        <v>0.65</v>
      </c>
    </row>
    <row r="30" spans="1:5" x14ac:dyDescent="0.25">
      <c r="A30" s="6" t="s">
        <v>499</v>
      </c>
      <c r="B30" s="9">
        <v>1.31</v>
      </c>
    </row>
    <row r="31" spans="1:5" x14ac:dyDescent="0.25">
      <c r="A31" s="6" t="s">
        <v>500</v>
      </c>
      <c r="B31" s="9">
        <v>0.65</v>
      </c>
    </row>
    <row r="32" spans="1:5" x14ac:dyDescent="0.25">
      <c r="A32" s="6" t="s">
        <v>498</v>
      </c>
      <c r="B32" s="9">
        <v>0.65</v>
      </c>
    </row>
    <row r="33" spans="1:5" x14ac:dyDescent="0.25">
      <c r="A33" s="6" t="s">
        <v>501</v>
      </c>
      <c r="B33" s="9">
        <v>0.89</v>
      </c>
    </row>
    <row r="34" spans="1:5" x14ac:dyDescent="0.25">
      <c r="A34" s="6" t="s">
        <v>497</v>
      </c>
      <c r="B34" s="9">
        <v>0.65</v>
      </c>
    </row>
    <row r="35" spans="1:5" x14ac:dyDescent="0.25">
      <c r="A35" s="6" t="s">
        <v>530</v>
      </c>
      <c r="B35" s="9">
        <v>0.51</v>
      </c>
    </row>
    <row r="36" spans="1:5" x14ac:dyDescent="0.25">
      <c r="A36" s="6" t="s">
        <v>55</v>
      </c>
      <c r="B36" s="9">
        <v>0.95</v>
      </c>
    </row>
    <row r="37" spans="1:5" x14ac:dyDescent="0.25">
      <c r="A37" s="6" t="s">
        <v>503</v>
      </c>
      <c r="B37" s="177">
        <v>0.56000000000000005</v>
      </c>
    </row>
    <row r="38" spans="1:5" x14ac:dyDescent="0.25">
      <c r="A38" s="6" t="s">
        <v>527</v>
      </c>
      <c r="B38" s="177">
        <v>2.21</v>
      </c>
    </row>
    <row r="39" spans="1:5" x14ac:dyDescent="0.25">
      <c r="A39" s="6" t="s">
        <v>528</v>
      </c>
      <c r="B39" s="177">
        <v>2.41</v>
      </c>
    </row>
    <row r="40" spans="1:5" x14ac:dyDescent="0.25">
      <c r="A40" s="6" t="s">
        <v>531</v>
      </c>
      <c r="B40" s="177">
        <v>0.38</v>
      </c>
    </row>
    <row r="41" spans="1:5" x14ac:dyDescent="0.25">
      <c r="A41" s="6" t="s">
        <v>504</v>
      </c>
      <c r="B41" s="177">
        <v>0.99</v>
      </c>
      <c r="D41" s="218" t="s">
        <v>841</v>
      </c>
      <c r="E41" s="218">
        <v>1.21</v>
      </c>
    </row>
    <row r="42" spans="1:5" x14ac:dyDescent="0.25">
      <c r="A42" s="6" t="s">
        <v>505</v>
      </c>
      <c r="B42" s="177">
        <v>0.91</v>
      </c>
    </row>
    <row r="43" spans="1:5" x14ac:dyDescent="0.25">
      <c r="A43" s="6" t="s">
        <v>57</v>
      </c>
      <c r="B43" s="9">
        <v>1.2</v>
      </c>
    </row>
    <row r="44" spans="1:5" x14ac:dyDescent="0.25">
      <c r="A44" s="6" t="s">
        <v>532</v>
      </c>
      <c r="B44" s="9">
        <v>0.72</v>
      </c>
    </row>
    <row r="45" spans="1:5" x14ac:dyDescent="0.25">
      <c r="A45" s="6" t="s">
        <v>533</v>
      </c>
      <c r="B45" s="9">
        <v>1.66</v>
      </c>
    </row>
    <row r="46" spans="1:5" x14ac:dyDescent="0.25">
      <c r="A46" s="6" t="s">
        <v>534</v>
      </c>
      <c r="B46" s="177">
        <v>1.51</v>
      </c>
    </row>
    <row r="47" spans="1:5" x14ac:dyDescent="0.25">
      <c r="A47" s="6" t="s">
        <v>535</v>
      </c>
      <c r="B47" s="177">
        <v>0.74</v>
      </c>
    </row>
    <row r="48" spans="1:5" x14ac:dyDescent="0.25">
      <c r="A48" s="6" t="s">
        <v>536</v>
      </c>
      <c r="B48" s="177">
        <v>0.88</v>
      </c>
    </row>
    <row r="49" spans="1:2" x14ac:dyDescent="0.25">
      <c r="A49" s="6" t="s">
        <v>537</v>
      </c>
      <c r="B49" s="177">
        <v>0.71</v>
      </c>
    </row>
    <row r="50" spans="1:2" x14ac:dyDescent="0.25">
      <c r="A50" s="6" t="s">
        <v>538</v>
      </c>
      <c r="B50" s="177">
        <v>2.48</v>
      </c>
    </row>
    <row r="51" spans="1:2" x14ac:dyDescent="0.25">
      <c r="A51" s="6" t="s">
        <v>539</v>
      </c>
      <c r="B51" s="177">
        <v>0.62</v>
      </c>
    </row>
    <row r="52" spans="1:2" x14ac:dyDescent="0.25">
      <c r="A52" s="6" t="s">
        <v>540</v>
      </c>
      <c r="B52" s="177">
        <v>0.91</v>
      </c>
    </row>
    <row r="53" spans="1:2" x14ac:dyDescent="0.25">
      <c r="A53" s="6" t="s">
        <v>541</v>
      </c>
      <c r="B53" s="177">
        <v>1.1499999999999999</v>
      </c>
    </row>
    <row r="54" spans="1:2" x14ac:dyDescent="0.25">
      <c r="A54" s="6" t="s">
        <v>506</v>
      </c>
      <c r="B54" s="9">
        <v>1.28</v>
      </c>
    </row>
    <row r="55" spans="1:2" x14ac:dyDescent="0.25">
      <c r="A55" s="6" t="s">
        <v>507</v>
      </c>
      <c r="B55" s="9">
        <v>1.81</v>
      </c>
    </row>
    <row r="56" spans="1:2" x14ac:dyDescent="0.25">
      <c r="A56" s="6" t="s">
        <v>508</v>
      </c>
      <c r="B56" s="177">
        <v>0.6</v>
      </c>
    </row>
    <row r="57" spans="1:2" x14ac:dyDescent="0.25">
      <c r="A57" s="6" t="s">
        <v>261</v>
      </c>
      <c r="B57" s="9">
        <v>0.93</v>
      </c>
    </row>
    <row r="58" spans="1:2" x14ac:dyDescent="0.25">
      <c r="A58" s="6" t="s">
        <v>262</v>
      </c>
      <c r="B58" s="9">
        <v>1.71</v>
      </c>
    </row>
    <row r="59" spans="1:2" x14ac:dyDescent="0.25">
      <c r="A59" s="6" t="s">
        <v>509</v>
      </c>
      <c r="B59" s="177">
        <v>0.47</v>
      </c>
    </row>
    <row r="60" spans="1:2" x14ac:dyDescent="0.25">
      <c r="A60" s="6" t="s">
        <v>511</v>
      </c>
      <c r="B60" s="9">
        <v>0.9</v>
      </c>
    </row>
    <row r="61" spans="1:2" x14ac:dyDescent="0.25">
      <c r="A61" s="6" t="s">
        <v>256</v>
      </c>
      <c r="B61" s="9">
        <v>0.64</v>
      </c>
    </row>
    <row r="62" spans="1:2" x14ac:dyDescent="0.25">
      <c r="A62" s="6" t="s">
        <v>512</v>
      </c>
      <c r="B62" s="177">
        <v>1.8</v>
      </c>
    </row>
    <row r="63" spans="1:2" x14ac:dyDescent="0.25">
      <c r="A63" s="6" t="s">
        <v>510</v>
      </c>
      <c r="B63" s="177">
        <v>1.06</v>
      </c>
    </row>
    <row r="64" spans="1:2" x14ac:dyDescent="0.25">
      <c r="A64" s="6" t="s">
        <v>258</v>
      </c>
      <c r="B64" s="177">
        <v>0.59</v>
      </c>
    </row>
    <row r="65" spans="1:5" x14ac:dyDescent="0.25">
      <c r="A65" s="6" t="s">
        <v>257</v>
      </c>
      <c r="B65" s="9">
        <v>2</v>
      </c>
    </row>
    <row r="66" spans="1:5" x14ac:dyDescent="0.25">
      <c r="A66" s="6" t="s">
        <v>259</v>
      </c>
      <c r="B66" s="9">
        <v>0.75</v>
      </c>
    </row>
    <row r="67" spans="1:5" x14ac:dyDescent="0.25">
      <c r="A67" s="6" t="s">
        <v>514</v>
      </c>
      <c r="B67" s="9">
        <v>0.73</v>
      </c>
    </row>
    <row r="68" spans="1:5" x14ac:dyDescent="0.25">
      <c r="A68" s="6" t="s">
        <v>513</v>
      </c>
      <c r="B68" s="177">
        <v>0.92</v>
      </c>
    </row>
    <row r="69" spans="1:5" x14ac:dyDescent="0.25">
      <c r="A69" s="6" t="s">
        <v>241</v>
      </c>
      <c r="B69" s="9">
        <v>1.29</v>
      </c>
    </row>
    <row r="70" spans="1:5" x14ac:dyDescent="0.25">
      <c r="A70" s="6" t="s">
        <v>242</v>
      </c>
      <c r="B70" s="9">
        <v>0.95</v>
      </c>
    </row>
    <row r="71" spans="1:5" x14ac:dyDescent="0.25">
      <c r="A71" s="6" t="s">
        <v>263</v>
      </c>
      <c r="B71" s="9">
        <v>1.05</v>
      </c>
    </row>
    <row r="72" spans="1:5" x14ac:dyDescent="0.25">
      <c r="A72" s="6" t="s">
        <v>264</v>
      </c>
      <c r="B72" s="9">
        <v>1.23</v>
      </c>
    </row>
    <row r="73" spans="1:5" x14ac:dyDescent="0.25">
      <c r="A73" s="6" t="s">
        <v>265</v>
      </c>
      <c r="B73" s="9">
        <v>1.19</v>
      </c>
    </row>
    <row r="74" spans="1:5" x14ac:dyDescent="0.25">
      <c r="A74" s="6" t="s">
        <v>697</v>
      </c>
      <c r="B74" s="177">
        <v>0.51</v>
      </c>
    </row>
    <row r="75" spans="1:5" x14ac:dyDescent="0.25">
      <c r="A75" s="6" t="s">
        <v>243</v>
      </c>
      <c r="B75" s="177">
        <v>1.05</v>
      </c>
    </row>
    <row r="76" spans="1:5" x14ac:dyDescent="0.25">
      <c r="A76" s="6" t="s">
        <v>244</v>
      </c>
      <c r="B76" s="177">
        <v>1.02</v>
      </c>
    </row>
    <row r="77" spans="1:5" x14ac:dyDescent="0.25">
      <c r="A77" s="6" t="s">
        <v>515</v>
      </c>
      <c r="B77" s="9">
        <v>1.1100000000000001</v>
      </c>
      <c r="D77" s="218" t="s">
        <v>841</v>
      </c>
      <c r="E77" s="218">
        <v>1.1100000000000001</v>
      </c>
    </row>
    <row r="78" spans="1:5" x14ac:dyDescent="0.25">
      <c r="A78" s="6" t="s">
        <v>516</v>
      </c>
      <c r="B78" s="9">
        <v>1.1100000000000001</v>
      </c>
      <c r="D78" s="218" t="s">
        <v>841</v>
      </c>
      <c r="E78" s="218">
        <v>1.1100000000000001</v>
      </c>
    </row>
    <row r="79" spans="1:5" x14ac:dyDescent="0.25">
      <c r="A79" s="6" t="s">
        <v>260</v>
      </c>
      <c r="B79" s="9">
        <v>0.98</v>
      </c>
      <c r="D79" s="218" t="s">
        <v>843</v>
      </c>
    </row>
    <row r="80" spans="1:5" x14ac:dyDescent="0.25">
      <c r="A80" s="6" t="s">
        <v>517</v>
      </c>
      <c r="B80" s="177">
        <v>0.19</v>
      </c>
    </row>
    <row r="81" spans="1:2" x14ac:dyDescent="0.25">
      <c r="A81" s="6" t="s">
        <v>542</v>
      </c>
      <c r="B81" s="177">
        <v>0.61</v>
      </c>
    </row>
    <row r="82" spans="1:2" x14ac:dyDescent="0.25">
      <c r="A82" s="6" t="s">
        <v>518</v>
      </c>
      <c r="B82" s="177">
        <v>1.68</v>
      </c>
    </row>
    <row r="83" spans="1:2" x14ac:dyDescent="0.25">
      <c r="A83" s="6" t="s">
        <v>239</v>
      </c>
      <c r="B83" s="9">
        <v>0.94</v>
      </c>
    </row>
    <row r="84" spans="1:2" x14ac:dyDescent="0.25">
      <c r="A84" s="6" t="s">
        <v>246</v>
      </c>
      <c r="B84" s="177">
        <v>0.64</v>
      </c>
    </row>
    <row r="85" spans="1:2" x14ac:dyDescent="0.25">
      <c r="A85" s="6" t="s">
        <v>245</v>
      </c>
      <c r="B85" s="177">
        <v>1.53</v>
      </c>
    </row>
    <row r="86" spans="1:2" x14ac:dyDescent="0.25">
      <c r="A86" s="6" t="s">
        <v>520</v>
      </c>
      <c r="B86" s="9">
        <v>0.98</v>
      </c>
    </row>
    <row r="87" spans="1:2" x14ac:dyDescent="0.25">
      <c r="A87" s="6" t="s">
        <v>519</v>
      </c>
      <c r="B87" s="177">
        <v>1.21</v>
      </c>
    </row>
    <row r="88" spans="1:2" x14ac:dyDescent="0.25">
      <c r="A88" s="6" t="s">
        <v>266</v>
      </c>
      <c r="B88" s="177">
        <v>0.71</v>
      </c>
    </row>
    <row r="89" spans="1:2" x14ac:dyDescent="0.25">
      <c r="A89" s="6" t="s">
        <v>247</v>
      </c>
      <c r="B89" s="177">
        <v>1.1000000000000001</v>
      </c>
    </row>
    <row r="90" spans="1:2" x14ac:dyDescent="0.25">
      <c r="A90" s="6" t="s">
        <v>236</v>
      </c>
      <c r="B90" s="177">
        <v>1.3</v>
      </c>
    </row>
    <row r="91" spans="1:2" x14ac:dyDescent="0.25">
      <c r="A91" s="6" t="s">
        <v>521</v>
      </c>
      <c r="B91" s="177">
        <v>0.54</v>
      </c>
    </row>
    <row r="92" spans="1:2" x14ac:dyDescent="0.25">
      <c r="A92" s="6" t="s">
        <v>270</v>
      </c>
      <c r="B92" s="177">
        <v>3.68</v>
      </c>
    </row>
    <row r="93" spans="1:2" x14ac:dyDescent="0.25">
      <c r="A93" s="6" t="s">
        <v>269</v>
      </c>
      <c r="B93" s="177">
        <v>2.4</v>
      </c>
    </row>
    <row r="94" spans="1:2" x14ac:dyDescent="0.25">
      <c r="A94" s="6" t="s">
        <v>268</v>
      </c>
      <c r="B94" s="177">
        <v>1.8</v>
      </c>
    </row>
    <row r="95" spans="1:2" x14ac:dyDescent="0.25">
      <c r="A95" s="6" t="s">
        <v>267</v>
      </c>
      <c r="B95" s="177">
        <v>1.2</v>
      </c>
    </row>
    <row r="96" spans="1:2" x14ac:dyDescent="0.25">
      <c r="A96" s="6" t="s">
        <v>522</v>
      </c>
      <c r="B96" s="9">
        <v>0.69</v>
      </c>
    </row>
    <row r="97" spans="1:2" x14ac:dyDescent="0.25">
      <c r="A97" s="6" t="s">
        <v>525</v>
      </c>
      <c r="B97" s="9">
        <v>0.63</v>
      </c>
    </row>
    <row r="98" spans="1:2" x14ac:dyDescent="0.25">
      <c r="A98" s="6" t="s">
        <v>556</v>
      </c>
      <c r="B98" s="9">
        <v>0.63</v>
      </c>
    </row>
    <row r="99" spans="1:2" x14ac:dyDescent="0.25">
      <c r="A99" s="6" t="s">
        <v>523</v>
      </c>
      <c r="B99" s="9">
        <v>0.63</v>
      </c>
    </row>
    <row r="100" spans="1:2" x14ac:dyDescent="0.25">
      <c r="A100" s="6" t="s">
        <v>524</v>
      </c>
      <c r="B100" s="9">
        <v>0.63</v>
      </c>
    </row>
    <row r="101" spans="1:2" x14ac:dyDescent="0.25">
      <c r="A101" s="6" t="s">
        <v>544</v>
      </c>
      <c r="B101" s="177">
        <v>0.36</v>
      </c>
    </row>
    <row r="102" spans="1:2" x14ac:dyDescent="0.25">
      <c r="A102" s="6" t="s">
        <v>543</v>
      </c>
      <c r="B102" s="177">
        <v>0.53</v>
      </c>
    </row>
    <row r="103" spans="1:2" x14ac:dyDescent="0.25">
      <c r="A103" s="6" t="s">
        <v>545</v>
      </c>
      <c r="B103" s="177">
        <v>0.8</v>
      </c>
    </row>
    <row r="104" spans="1:2" x14ac:dyDescent="0.25">
      <c r="A104" s="6" t="s">
        <v>526</v>
      </c>
      <c r="B104" s="177">
        <v>6.7000000000000004E-2</v>
      </c>
    </row>
    <row r="105" spans="1:2" x14ac:dyDescent="0.25">
      <c r="A105" s="6" t="s">
        <v>546</v>
      </c>
      <c r="B105" s="177">
        <v>0.57999999999999996</v>
      </c>
    </row>
    <row r="106" spans="1:2" x14ac:dyDescent="0.25">
      <c r="A106" s="6" t="s">
        <v>547</v>
      </c>
      <c r="B106" s="177">
        <v>0.95</v>
      </c>
    </row>
    <row r="107" spans="1:2" x14ac:dyDescent="0.25">
      <c r="A107" s="6" t="s">
        <v>56</v>
      </c>
      <c r="B107" s="9">
        <v>1.59</v>
      </c>
    </row>
    <row r="108" spans="1:2" x14ac:dyDescent="0.25">
      <c r="A108" s="6"/>
      <c r="B108" s="9"/>
    </row>
    <row r="109" spans="1:2" x14ac:dyDescent="0.25">
      <c r="A109" s="6"/>
      <c r="B109" s="9"/>
    </row>
    <row r="110" spans="1:2" x14ac:dyDescent="0.25">
      <c r="A110" s="6"/>
      <c r="B110" s="9"/>
    </row>
    <row r="111" spans="1:2" x14ac:dyDescent="0.25">
      <c r="A111" s="6"/>
      <c r="B111" s="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59999389629810485"/>
  </sheetPr>
  <dimension ref="A1:G111"/>
  <sheetViews>
    <sheetView workbookViewId="0">
      <selection activeCell="J31" sqref="J31"/>
    </sheetView>
  </sheetViews>
  <sheetFormatPr defaultRowHeight="15" x14ac:dyDescent="0.25"/>
  <cols>
    <col min="1" max="1" width="21.5703125" bestFit="1" customWidth="1"/>
    <col min="2" max="4" width="4.7109375" style="2" customWidth="1"/>
    <col min="5" max="5" width="47.140625" bestFit="1" customWidth="1"/>
    <col min="6" max="6" width="5.28515625" style="2" customWidth="1"/>
  </cols>
  <sheetData>
    <row r="1" spans="1:7" ht="103.15" customHeight="1" x14ac:dyDescent="0.25">
      <c r="A1" s="5" t="s">
        <v>204</v>
      </c>
      <c r="B1" s="8" t="s">
        <v>205</v>
      </c>
      <c r="C1" s="8"/>
      <c r="D1" s="8"/>
      <c r="E1" s="5" t="s">
        <v>206</v>
      </c>
      <c r="F1" s="8" t="s">
        <v>207</v>
      </c>
    </row>
    <row r="2" spans="1:7" x14ac:dyDescent="0.25">
      <c r="A2" s="6" t="s">
        <v>208</v>
      </c>
      <c r="B2" s="9">
        <v>0.8</v>
      </c>
      <c r="C2" s="9">
        <v>0.9</v>
      </c>
      <c r="D2" s="9"/>
      <c r="E2" s="6" t="s">
        <v>250</v>
      </c>
      <c r="F2" s="9"/>
    </row>
    <row r="3" spans="1:7" x14ac:dyDescent="0.25">
      <c r="A3" s="6" t="s">
        <v>209</v>
      </c>
      <c r="B3" s="9">
        <v>1.01</v>
      </c>
      <c r="C3" s="9">
        <v>1.2</v>
      </c>
      <c r="D3" s="9"/>
      <c r="E3" s="6" t="s">
        <v>251</v>
      </c>
      <c r="F3" s="9"/>
    </row>
    <row r="4" spans="1:7" x14ac:dyDescent="0.25">
      <c r="A4" s="6" t="s">
        <v>210</v>
      </c>
      <c r="B4" s="9">
        <v>1.01</v>
      </c>
      <c r="C4" s="9">
        <v>1.2</v>
      </c>
      <c r="D4" s="9"/>
      <c r="E4" s="6" t="s">
        <v>488</v>
      </c>
      <c r="F4" s="9">
        <v>0.43</v>
      </c>
      <c r="G4">
        <v>0.9</v>
      </c>
    </row>
    <row r="5" spans="1:7" x14ac:dyDescent="0.25">
      <c r="A5" s="6" t="s">
        <v>211</v>
      </c>
      <c r="B5" s="9">
        <v>1.01</v>
      </c>
      <c r="C5" s="9">
        <v>1.3</v>
      </c>
      <c r="D5" s="9"/>
      <c r="E5" s="6" t="s">
        <v>252</v>
      </c>
      <c r="F5" s="9">
        <v>0.63</v>
      </c>
      <c r="G5">
        <v>0.9</v>
      </c>
    </row>
    <row r="6" spans="1:7" x14ac:dyDescent="0.25">
      <c r="A6" s="6" t="s">
        <v>212</v>
      </c>
      <c r="B6" s="9">
        <v>0.9</v>
      </c>
      <c r="C6" s="9">
        <v>1.4</v>
      </c>
      <c r="D6" s="9"/>
      <c r="E6" s="6" t="s">
        <v>483</v>
      </c>
      <c r="F6" s="9">
        <v>0.82</v>
      </c>
      <c r="G6">
        <v>0.7</v>
      </c>
    </row>
    <row r="7" spans="1:7" x14ac:dyDescent="0.25">
      <c r="A7" s="6" t="s">
        <v>213</v>
      </c>
      <c r="B7" s="9">
        <v>0.95</v>
      </c>
      <c r="C7" s="9">
        <v>1.6</v>
      </c>
      <c r="D7" s="9"/>
      <c r="E7" s="6" t="s">
        <v>553</v>
      </c>
      <c r="F7" s="9">
        <v>0.65</v>
      </c>
      <c r="G7">
        <v>0.3</v>
      </c>
    </row>
    <row r="8" spans="1:7" x14ac:dyDescent="0.25">
      <c r="A8" s="6" t="s">
        <v>214</v>
      </c>
      <c r="B8" s="9">
        <v>0.56999999999999995</v>
      </c>
      <c r="C8" s="9">
        <v>1</v>
      </c>
      <c r="D8" s="9"/>
      <c r="E8" s="6" t="s">
        <v>484</v>
      </c>
      <c r="F8" s="9">
        <v>0.65</v>
      </c>
      <c r="G8">
        <v>0.4</v>
      </c>
    </row>
    <row r="9" spans="1:7" x14ac:dyDescent="0.25">
      <c r="A9" s="6" t="s">
        <v>215</v>
      </c>
      <c r="B9" s="9">
        <v>0.84</v>
      </c>
      <c r="C9" s="9">
        <v>1</v>
      </c>
      <c r="D9" s="9"/>
      <c r="E9" s="6" t="s">
        <v>254</v>
      </c>
      <c r="F9" s="9">
        <v>1.1399999999999999</v>
      </c>
      <c r="G9">
        <v>1.2</v>
      </c>
    </row>
    <row r="10" spans="1:7" x14ac:dyDescent="0.25">
      <c r="A10" s="6" t="s">
        <v>248</v>
      </c>
      <c r="B10" s="9">
        <v>0.67</v>
      </c>
      <c r="C10" s="9">
        <v>1</v>
      </c>
      <c r="D10" s="9"/>
      <c r="E10" s="6" t="s">
        <v>485</v>
      </c>
      <c r="F10" s="9">
        <v>0.28000000000000003</v>
      </c>
      <c r="G10">
        <v>0.7</v>
      </c>
    </row>
    <row r="11" spans="1:7" x14ac:dyDescent="0.25">
      <c r="A11" s="6" t="s">
        <v>216</v>
      </c>
      <c r="B11" s="9">
        <v>0.94</v>
      </c>
      <c r="C11" s="9">
        <v>1.1000000000000001</v>
      </c>
      <c r="D11" s="9"/>
      <c r="E11" s="6" t="s">
        <v>253</v>
      </c>
      <c r="F11" s="9">
        <v>2.4300000000000002</v>
      </c>
      <c r="G11">
        <v>2.6</v>
      </c>
    </row>
    <row r="12" spans="1:7" x14ac:dyDescent="0.25">
      <c r="A12" s="6" t="s">
        <v>217</v>
      </c>
      <c r="B12" s="9">
        <v>0.9</v>
      </c>
      <c r="C12" s="9">
        <v>1</v>
      </c>
      <c r="D12" s="9"/>
      <c r="E12" s="6" t="s">
        <v>486</v>
      </c>
      <c r="F12" s="9">
        <v>1.53</v>
      </c>
      <c r="G12">
        <v>1.7</v>
      </c>
    </row>
    <row r="13" spans="1:7" x14ac:dyDescent="0.25">
      <c r="A13" s="6" t="s">
        <v>218</v>
      </c>
      <c r="B13" s="9">
        <v>1.05</v>
      </c>
      <c r="C13" s="9">
        <v>1.2</v>
      </c>
      <c r="D13" s="9"/>
      <c r="E13" s="6" t="s">
        <v>487</v>
      </c>
      <c r="F13" s="9">
        <v>0.43</v>
      </c>
      <c r="G13">
        <v>0.4</v>
      </c>
    </row>
    <row r="14" spans="1:7" x14ac:dyDescent="0.25">
      <c r="A14" s="6" t="s">
        <v>482</v>
      </c>
      <c r="B14" s="9">
        <v>0.87</v>
      </c>
      <c r="C14" s="9">
        <v>1.0900000000000001</v>
      </c>
      <c r="D14" s="9"/>
      <c r="E14" s="6" t="s">
        <v>554</v>
      </c>
      <c r="F14" s="9">
        <v>0.43</v>
      </c>
      <c r="G14">
        <v>0.5</v>
      </c>
    </row>
    <row r="15" spans="1:7" x14ac:dyDescent="0.25">
      <c r="A15" s="6" t="s">
        <v>219</v>
      </c>
      <c r="B15" s="9">
        <v>1.19</v>
      </c>
      <c r="C15" s="9">
        <v>1.3</v>
      </c>
      <c r="D15" s="9"/>
      <c r="E15" s="6" t="s">
        <v>529</v>
      </c>
      <c r="F15" s="9">
        <v>6.7000000000000004E-2</v>
      </c>
      <c r="G15">
        <v>0.7</v>
      </c>
    </row>
    <row r="16" spans="1:7" x14ac:dyDescent="0.25">
      <c r="A16" s="6" t="s">
        <v>220</v>
      </c>
      <c r="B16" s="9">
        <v>1.17</v>
      </c>
      <c r="C16" s="9">
        <v>1.17</v>
      </c>
      <c r="D16" s="9"/>
      <c r="E16" s="6" t="s">
        <v>489</v>
      </c>
      <c r="F16" s="9">
        <v>1.01</v>
      </c>
      <c r="G16">
        <v>1.5</v>
      </c>
    </row>
    <row r="17" spans="1:7" x14ac:dyDescent="0.25">
      <c r="A17" s="6" t="s">
        <v>221</v>
      </c>
      <c r="B17" s="9">
        <v>0.76</v>
      </c>
      <c r="C17" s="9">
        <v>1.2</v>
      </c>
      <c r="D17" s="9"/>
      <c r="E17" s="6" t="s">
        <v>555</v>
      </c>
      <c r="F17" s="9">
        <v>1.24</v>
      </c>
      <c r="G17">
        <v>1.4</v>
      </c>
    </row>
    <row r="18" spans="1:7" x14ac:dyDescent="0.25">
      <c r="A18" s="6" t="s">
        <v>222</v>
      </c>
      <c r="B18" s="9">
        <v>0.51</v>
      </c>
      <c r="C18" s="9">
        <v>0.7</v>
      </c>
      <c r="D18" s="9"/>
      <c r="E18" s="6" t="s">
        <v>490</v>
      </c>
      <c r="F18" s="9">
        <v>1.34</v>
      </c>
      <c r="G18">
        <v>1.3</v>
      </c>
    </row>
    <row r="19" spans="1:7" x14ac:dyDescent="0.25">
      <c r="A19" s="6" t="s">
        <v>223</v>
      </c>
      <c r="B19" s="9">
        <v>1.02</v>
      </c>
      <c r="C19" s="9">
        <v>1.1000000000000001</v>
      </c>
      <c r="D19" s="9"/>
      <c r="E19" s="6" t="s">
        <v>496</v>
      </c>
      <c r="F19" s="9">
        <v>1.71</v>
      </c>
      <c r="G19">
        <v>2.14</v>
      </c>
    </row>
    <row r="20" spans="1:7" x14ac:dyDescent="0.25">
      <c r="A20" s="6" t="s">
        <v>224</v>
      </c>
      <c r="B20" s="9">
        <v>0.82</v>
      </c>
      <c r="C20" s="9">
        <v>1</v>
      </c>
      <c r="D20" s="9"/>
      <c r="E20" s="7" t="s">
        <v>255</v>
      </c>
      <c r="F20" s="9">
        <v>1.23</v>
      </c>
      <c r="G20">
        <v>1.3</v>
      </c>
    </row>
    <row r="21" spans="1:7" x14ac:dyDescent="0.25">
      <c r="A21" s="6" t="s">
        <v>225</v>
      </c>
      <c r="B21" s="9">
        <v>0.21</v>
      </c>
      <c r="C21" s="9">
        <v>0.3</v>
      </c>
      <c r="D21" s="9"/>
      <c r="E21" s="7" t="s">
        <v>238</v>
      </c>
      <c r="F21" s="9">
        <v>0.81</v>
      </c>
      <c r="G21">
        <v>0.9</v>
      </c>
    </row>
    <row r="22" spans="1:7" x14ac:dyDescent="0.25">
      <c r="A22" s="6" t="s">
        <v>226</v>
      </c>
      <c r="B22" s="9">
        <v>0.81</v>
      </c>
      <c r="C22" s="9">
        <v>1</v>
      </c>
      <c r="D22" s="9"/>
      <c r="E22" s="6" t="s">
        <v>240</v>
      </c>
      <c r="F22" s="9">
        <v>1.45</v>
      </c>
      <c r="G22">
        <v>1.3</v>
      </c>
    </row>
    <row r="23" spans="1:7" x14ac:dyDescent="0.25">
      <c r="A23" s="6" t="s">
        <v>227</v>
      </c>
      <c r="B23" s="9">
        <v>1.39</v>
      </c>
      <c r="C23" s="9">
        <v>1.6</v>
      </c>
      <c r="D23" s="9"/>
      <c r="E23" s="7" t="s">
        <v>491</v>
      </c>
      <c r="F23" s="9">
        <v>0.72</v>
      </c>
      <c r="G23">
        <v>0.9</v>
      </c>
    </row>
    <row r="24" spans="1:7" x14ac:dyDescent="0.25">
      <c r="A24" s="6" t="s">
        <v>249</v>
      </c>
      <c r="B24" s="9">
        <v>0.87</v>
      </c>
      <c r="C24" s="9">
        <v>1</v>
      </c>
      <c r="D24" s="9"/>
      <c r="E24" s="6" t="s">
        <v>495</v>
      </c>
      <c r="F24" s="9">
        <v>0.66</v>
      </c>
      <c r="G24">
        <v>0.5</v>
      </c>
    </row>
    <row r="25" spans="1:7" x14ac:dyDescent="0.25">
      <c r="A25" s="6" t="s">
        <v>228</v>
      </c>
      <c r="B25" s="9">
        <v>0.87</v>
      </c>
      <c r="C25" s="9">
        <v>1.1000000000000001</v>
      </c>
      <c r="D25" s="9"/>
      <c r="E25" s="7" t="s">
        <v>492</v>
      </c>
      <c r="F25" s="9">
        <v>0.92</v>
      </c>
      <c r="G25">
        <v>1.1499999999999999</v>
      </c>
    </row>
    <row r="26" spans="1:7" x14ac:dyDescent="0.25">
      <c r="A26" s="6" t="s">
        <v>229</v>
      </c>
      <c r="B26" s="9">
        <v>1</v>
      </c>
      <c r="C26" s="9">
        <v>1.3</v>
      </c>
      <c r="D26" s="9"/>
      <c r="E26" s="7" t="s">
        <v>493</v>
      </c>
      <c r="F26" s="9">
        <v>0.99</v>
      </c>
      <c r="G26">
        <v>1</v>
      </c>
    </row>
    <row r="27" spans="1:7" x14ac:dyDescent="0.25">
      <c r="A27" s="6" t="s">
        <v>230</v>
      </c>
      <c r="B27" s="9">
        <v>1.26</v>
      </c>
      <c r="C27" s="9">
        <v>1.5</v>
      </c>
      <c r="D27" s="9"/>
      <c r="E27" s="7" t="s">
        <v>494</v>
      </c>
      <c r="F27" s="9">
        <v>0.41</v>
      </c>
      <c r="G27">
        <v>0.5</v>
      </c>
    </row>
    <row r="28" spans="1:7" x14ac:dyDescent="0.25">
      <c r="A28" s="6" t="s">
        <v>231</v>
      </c>
      <c r="B28" s="9">
        <v>0.87</v>
      </c>
      <c r="C28" s="9">
        <v>1.2</v>
      </c>
      <c r="D28" s="9"/>
      <c r="E28" s="6" t="s">
        <v>237</v>
      </c>
      <c r="F28" s="9">
        <v>1.72</v>
      </c>
      <c r="G28">
        <v>1.9</v>
      </c>
    </row>
    <row r="29" spans="1:7" x14ac:dyDescent="0.25">
      <c r="A29" s="6" t="s">
        <v>232</v>
      </c>
      <c r="B29" s="9">
        <v>0.91</v>
      </c>
      <c r="C29" s="9">
        <v>1.1000000000000001</v>
      </c>
      <c r="D29" s="9"/>
      <c r="E29" s="6" t="s">
        <v>502</v>
      </c>
      <c r="F29" s="9">
        <v>0.65</v>
      </c>
      <c r="G29">
        <v>0.9</v>
      </c>
    </row>
    <row r="30" spans="1:7" x14ac:dyDescent="0.25">
      <c r="A30" s="6" t="s">
        <v>233</v>
      </c>
      <c r="B30" s="9">
        <v>0.89</v>
      </c>
      <c r="C30" s="9">
        <v>1.1000000000000001</v>
      </c>
      <c r="D30" s="9"/>
      <c r="E30" s="6" t="s">
        <v>499</v>
      </c>
      <c r="F30" s="9">
        <v>1.07</v>
      </c>
      <c r="G30">
        <v>1.4</v>
      </c>
    </row>
    <row r="31" spans="1:7" x14ac:dyDescent="0.25">
      <c r="A31" s="6" t="s">
        <v>234</v>
      </c>
      <c r="B31" s="9">
        <v>0.7</v>
      </c>
      <c r="C31" s="9">
        <v>1</v>
      </c>
      <c r="D31" s="9"/>
      <c r="E31" s="6" t="s">
        <v>500</v>
      </c>
      <c r="F31" s="9">
        <v>0.65</v>
      </c>
      <c r="G31">
        <v>0.9</v>
      </c>
    </row>
    <row r="32" spans="1:7" x14ac:dyDescent="0.25">
      <c r="A32" s="6" t="s">
        <v>235</v>
      </c>
      <c r="B32" s="9">
        <v>0.66</v>
      </c>
      <c r="C32" s="9">
        <v>0.8</v>
      </c>
      <c r="D32" s="9"/>
      <c r="E32" s="6" t="s">
        <v>498</v>
      </c>
      <c r="F32" s="9">
        <v>2.65</v>
      </c>
      <c r="G32">
        <v>3.32</v>
      </c>
    </row>
    <row r="33" spans="1:7" x14ac:dyDescent="0.25">
      <c r="A33" s="6" t="s">
        <v>56</v>
      </c>
      <c r="B33" s="9">
        <v>1.19</v>
      </c>
      <c r="C33" s="9">
        <v>1.4</v>
      </c>
      <c r="D33" s="9"/>
      <c r="E33" s="6" t="s">
        <v>501</v>
      </c>
      <c r="F33" s="9">
        <v>0.89</v>
      </c>
      <c r="G33">
        <v>2.1</v>
      </c>
    </row>
    <row r="34" spans="1:7" x14ac:dyDescent="0.25">
      <c r="A34" s="6"/>
      <c r="B34" s="9"/>
      <c r="C34" s="9"/>
      <c r="D34" s="9"/>
      <c r="E34" s="6" t="s">
        <v>497</v>
      </c>
      <c r="F34" s="9">
        <v>0.96</v>
      </c>
      <c r="G34">
        <v>1.3</v>
      </c>
    </row>
    <row r="35" spans="1:7" x14ac:dyDescent="0.25">
      <c r="A35" s="6"/>
      <c r="B35" s="9"/>
      <c r="C35" s="9"/>
      <c r="D35" s="9"/>
      <c r="E35" s="6" t="s">
        <v>530</v>
      </c>
      <c r="F35" s="9">
        <v>0.38</v>
      </c>
      <c r="G35">
        <v>1.1100000000000001</v>
      </c>
    </row>
    <row r="36" spans="1:7" x14ac:dyDescent="0.25">
      <c r="A36" s="6"/>
      <c r="B36" s="9"/>
      <c r="C36" s="9"/>
      <c r="D36" s="9"/>
      <c r="E36" s="6" t="s">
        <v>55</v>
      </c>
      <c r="F36" s="9">
        <v>0.42</v>
      </c>
      <c r="G36">
        <v>1.5</v>
      </c>
    </row>
    <row r="37" spans="1:7" x14ac:dyDescent="0.25">
      <c r="A37" s="6"/>
      <c r="B37" s="9"/>
      <c r="C37" s="9"/>
      <c r="D37" s="9"/>
      <c r="E37" s="6" t="s">
        <v>503</v>
      </c>
      <c r="F37" s="9">
        <v>0.56000000000000005</v>
      </c>
      <c r="G37">
        <v>0.8</v>
      </c>
    </row>
    <row r="38" spans="1:7" x14ac:dyDescent="0.25">
      <c r="A38" s="6"/>
      <c r="B38" s="9"/>
      <c r="C38" s="9"/>
      <c r="D38" s="9"/>
      <c r="E38" s="6" t="s">
        <v>527</v>
      </c>
      <c r="F38" s="9">
        <v>2.21</v>
      </c>
      <c r="G38">
        <v>2.77</v>
      </c>
    </row>
    <row r="39" spans="1:7" x14ac:dyDescent="0.25">
      <c r="A39" s="6"/>
      <c r="B39" s="9"/>
      <c r="C39" s="9"/>
      <c r="D39" s="9"/>
      <c r="E39" s="6" t="s">
        <v>528</v>
      </c>
      <c r="F39" s="9">
        <v>2.41</v>
      </c>
      <c r="G39">
        <v>3.02</v>
      </c>
    </row>
    <row r="40" spans="1:7" x14ac:dyDescent="0.25">
      <c r="A40" s="6"/>
      <c r="B40" s="9"/>
      <c r="C40" s="9"/>
      <c r="D40" s="9"/>
      <c r="E40" s="6" t="s">
        <v>531</v>
      </c>
      <c r="F40" s="9">
        <v>0.38</v>
      </c>
      <c r="G40">
        <v>0.3</v>
      </c>
    </row>
    <row r="41" spans="1:7" x14ac:dyDescent="0.25">
      <c r="A41" s="6"/>
      <c r="B41" s="9"/>
      <c r="C41" s="9"/>
      <c r="D41" s="9"/>
      <c r="E41" s="6" t="s">
        <v>504</v>
      </c>
      <c r="F41" s="9">
        <v>1.21</v>
      </c>
      <c r="G41">
        <v>1.2</v>
      </c>
    </row>
    <row r="42" spans="1:7" x14ac:dyDescent="0.25">
      <c r="A42" s="6"/>
      <c r="B42" s="9"/>
      <c r="C42" s="9"/>
      <c r="D42" s="9"/>
      <c r="E42" s="6" t="s">
        <v>505</v>
      </c>
      <c r="F42" s="9">
        <v>0.91</v>
      </c>
      <c r="G42">
        <v>1.1399999999999999</v>
      </c>
    </row>
    <row r="43" spans="1:7" x14ac:dyDescent="0.25">
      <c r="A43" s="6"/>
      <c r="B43" s="9"/>
      <c r="C43" s="9"/>
      <c r="D43" s="9"/>
      <c r="E43" s="6" t="s">
        <v>57</v>
      </c>
      <c r="F43" s="9">
        <v>1.2</v>
      </c>
      <c r="G43">
        <v>1.4</v>
      </c>
    </row>
    <row r="44" spans="1:7" x14ac:dyDescent="0.25">
      <c r="A44" s="6"/>
      <c r="B44" s="9"/>
      <c r="C44" s="9"/>
      <c r="D44" s="9"/>
      <c r="E44" s="6" t="s">
        <v>532</v>
      </c>
      <c r="F44" s="9">
        <v>0.72</v>
      </c>
      <c r="G44">
        <v>0.9</v>
      </c>
    </row>
    <row r="45" spans="1:7" x14ac:dyDescent="0.25">
      <c r="A45" s="6"/>
      <c r="B45" s="9"/>
      <c r="C45" s="9"/>
      <c r="D45" s="9"/>
      <c r="E45" s="6" t="s">
        <v>533</v>
      </c>
      <c r="F45" s="9">
        <v>1.66</v>
      </c>
      <c r="G45">
        <v>1.5</v>
      </c>
    </row>
    <row r="46" spans="1:7" x14ac:dyDescent="0.25">
      <c r="A46" s="6"/>
      <c r="B46" s="9"/>
      <c r="C46" s="9"/>
      <c r="D46" s="9"/>
      <c r="E46" s="6" t="s">
        <v>534</v>
      </c>
      <c r="F46" s="9">
        <v>1.51</v>
      </c>
      <c r="G46">
        <v>0.4</v>
      </c>
    </row>
    <row r="47" spans="1:7" x14ac:dyDescent="0.25">
      <c r="A47" s="6"/>
      <c r="B47" s="9"/>
      <c r="C47" s="9"/>
      <c r="D47" s="9"/>
      <c r="E47" s="6" t="s">
        <v>535</v>
      </c>
      <c r="F47" s="9">
        <v>0.74</v>
      </c>
      <c r="G47">
        <v>1.4</v>
      </c>
    </row>
    <row r="48" spans="1:7" x14ac:dyDescent="0.25">
      <c r="A48" s="6"/>
      <c r="B48" s="9"/>
      <c r="C48" s="9"/>
      <c r="D48" s="9"/>
      <c r="E48" s="6" t="s">
        <v>536</v>
      </c>
      <c r="F48" s="9">
        <v>0.88</v>
      </c>
      <c r="G48">
        <v>0.6</v>
      </c>
    </row>
    <row r="49" spans="1:7" x14ac:dyDescent="0.25">
      <c r="A49" s="6"/>
      <c r="B49" s="9"/>
      <c r="C49" s="9"/>
      <c r="D49" s="9"/>
      <c r="E49" s="6" t="s">
        <v>537</v>
      </c>
      <c r="F49" s="9">
        <v>0.71</v>
      </c>
      <c r="G49">
        <v>1</v>
      </c>
    </row>
    <row r="50" spans="1:7" x14ac:dyDescent="0.25">
      <c r="A50" s="6"/>
      <c r="B50" s="9"/>
      <c r="C50" s="9"/>
      <c r="D50" s="9"/>
      <c r="E50" s="6" t="s">
        <v>538</v>
      </c>
      <c r="F50" s="9">
        <v>2.48</v>
      </c>
      <c r="G50">
        <v>2.2000000000000002</v>
      </c>
    </row>
    <row r="51" spans="1:7" x14ac:dyDescent="0.25">
      <c r="A51" s="6"/>
      <c r="B51" s="9"/>
      <c r="C51" s="9"/>
      <c r="D51" s="9"/>
      <c r="E51" s="6" t="s">
        <v>539</v>
      </c>
      <c r="F51" s="9">
        <v>0.62</v>
      </c>
      <c r="G51">
        <v>0.7</v>
      </c>
    </row>
    <row r="52" spans="1:7" x14ac:dyDescent="0.25">
      <c r="A52" s="6"/>
      <c r="B52" s="9"/>
      <c r="C52" s="9"/>
      <c r="D52" s="9"/>
      <c r="E52" s="6" t="s">
        <v>540</v>
      </c>
      <c r="F52" s="9">
        <v>0.91</v>
      </c>
      <c r="G52">
        <v>0.9</v>
      </c>
    </row>
    <row r="53" spans="1:7" x14ac:dyDescent="0.25">
      <c r="A53" s="6"/>
      <c r="B53" s="9"/>
      <c r="C53" s="9"/>
      <c r="D53" s="9"/>
      <c r="E53" s="6" t="s">
        <v>541</v>
      </c>
      <c r="F53" s="9">
        <v>1.1499999999999999</v>
      </c>
      <c r="G53">
        <v>0.8</v>
      </c>
    </row>
    <row r="54" spans="1:7" x14ac:dyDescent="0.25">
      <c r="A54" s="6"/>
      <c r="B54" s="9"/>
      <c r="C54" s="9"/>
      <c r="D54" s="9"/>
      <c r="E54" s="6" t="s">
        <v>506</v>
      </c>
      <c r="F54" s="9">
        <v>1.43</v>
      </c>
      <c r="G54">
        <v>1.4</v>
      </c>
    </row>
    <row r="55" spans="1:7" x14ac:dyDescent="0.25">
      <c r="A55" s="6"/>
      <c r="B55" s="9"/>
      <c r="C55" s="9"/>
      <c r="D55" s="9"/>
      <c r="E55" s="6" t="s">
        <v>507</v>
      </c>
      <c r="F55" s="9">
        <v>1.81</v>
      </c>
      <c r="G55">
        <v>1.4</v>
      </c>
    </row>
    <row r="56" spans="1:7" x14ac:dyDescent="0.25">
      <c r="A56" s="6"/>
      <c r="B56" s="9"/>
      <c r="C56" s="9"/>
      <c r="D56" s="9"/>
      <c r="E56" s="6" t="s">
        <v>508</v>
      </c>
      <c r="F56" s="9">
        <v>0.6</v>
      </c>
      <c r="G56">
        <v>0.6</v>
      </c>
    </row>
    <row r="57" spans="1:7" x14ac:dyDescent="0.25">
      <c r="A57" s="6"/>
      <c r="B57" s="9"/>
      <c r="C57" s="9"/>
      <c r="D57" s="9"/>
      <c r="E57" s="6" t="s">
        <v>261</v>
      </c>
      <c r="F57" s="9">
        <v>1.06</v>
      </c>
      <c r="G57">
        <v>1.2</v>
      </c>
    </row>
    <row r="58" spans="1:7" x14ac:dyDescent="0.25">
      <c r="A58" s="6"/>
      <c r="B58" s="9"/>
      <c r="C58" s="9"/>
      <c r="D58" s="9"/>
      <c r="E58" s="6" t="s">
        <v>262</v>
      </c>
      <c r="F58" s="9">
        <v>1.71</v>
      </c>
      <c r="G58">
        <v>1.7</v>
      </c>
    </row>
    <row r="59" spans="1:7" x14ac:dyDescent="0.25">
      <c r="A59" s="6"/>
      <c r="B59" s="9"/>
      <c r="C59" s="9"/>
      <c r="D59" s="9"/>
      <c r="E59" s="6" t="s">
        <v>509</v>
      </c>
      <c r="F59" s="9">
        <v>0.47</v>
      </c>
      <c r="G59">
        <v>0.59</v>
      </c>
    </row>
    <row r="60" spans="1:7" x14ac:dyDescent="0.25">
      <c r="A60" s="6"/>
      <c r="B60" s="9"/>
      <c r="C60" s="9"/>
      <c r="D60" s="9"/>
      <c r="E60" s="6" t="s">
        <v>511</v>
      </c>
      <c r="F60" s="9">
        <v>0.9</v>
      </c>
      <c r="G60">
        <v>1.3</v>
      </c>
    </row>
    <row r="61" spans="1:7" x14ac:dyDescent="0.25">
      <c r="A61" s="6"/>
      <c r="B61" s="9"/>
      <c r="C61" s="9"/>
      <c r="D61" s="9"/>
      <c r="E61" s="6" t="s">
        <v>256</v>
      </c>
      <c r="F61" s="9">
        <v>0.64</v>
      </c>
      <c r="G61">
        <v>0.8</v>
      </c>
    </row>
    <row r="62" spans="1:7" x14ac:dyDescent="0.25">
      <c r="A62" s="6"/>
      <c r="B62" s="9"/>
      <c r="C62" s="9"/>
      <c r="D62" s="9"/>
      <c r="E62" s="6" t="s">
        <v>512</v>
      </c>
      <c r="F62" s="9">
        <v>1.8</v>
      </c>
      <c r="G62">
        <v>2.2599999999999998</v>
      </c>
    </row>
    <row r="63" spans="1:7" x14ac:dyDescent="0.25">
      <c r="A63" s="6"/>
      <c r="B63" s="9"/>
      <c r="C63" s="9"/>
      <c r="D63" s="9"/>
      <c r="E63" s="6" t="s">
        <v>510</v>
      </c>
      <c r="F63" s="9">
        <v>1.06</v>
      </c>
      <c r="G63">
        <v>1.1000000000000001</v>
      </c>
    </row>
    <row r="64" spans="1:7" x14ac:dyDescent="0.25">
      <c r="A64" s="6"/>
      <c r="B64" s="9"/>
      <c r="C64" s="9"/>
      <c r="D64" s="9"/>
      <c r="E64" s="6" t="s">
        <v>258</v>
      </c>
      <c r="F64" s="9">
        <v>0.59</v>
      </c>
      <c r="G64">
        <v>1.1000000000000001</v>
      </c>
    </row>
    <row r="65" spans="1:7" x14ac:dyDescent="0.25">
      <c r="A65" s="6"/>
      <c r="B65" s="9"/>
      <c r="C65" s="9"/>
      <c r="D65" s="9"/>
      <c r="E65" s="6" t="s">
        <v>257</v>
      </c>
      <c r="F65" s="9">
        <v>2</v>
      </c>
      <c r="G65">
        <v>3.3</v>
      </c>
    </row>
    <row r="66" spans="1:7" x14ac:dyDescent="0.25">
      <c r="A66" s="6"/>
      <c r="B66" s="9"/>
      <c r="C66" s="9"/>
      <c r="D66" s="9"/>
      <c r="E66" s="6" t="s">
        <v>259</v>
      </c>
      <c r="F66" s="9">
        <v>0.75</v>
      </c>
      <c r="G66">
        <v>0.6</v>
      </c>
    </row>
    <row r="67" spans="1:7" x14ac:dyDescent="0.25">
      <c r="A67" s="6"/>
      <c r="B67" s="9"/>
      <c r="C67" s="9"/>
      <c r="D67" s="9"/>
      <c r="E67" s="6" t="s">
        <v>514</v>
      </c>
      <c r="F67" s="9">
        <v>0.73</v>
      </c>
      <c r="G67">
        <v>1.2</v>
      </c>
    </row>
    <row r="68" spans="1:7" x14ac:dyDescent="0.25">
      <c r="A68" s="6"/>
      <c r="B68" s="9"/>
      <c r="C68" s="9"/>
      <c r="D68" s="9"/>
      <c r="E68" s="6" t="s">
        <v>513</v>
      </c>
      <c r="F68" s="9">
        <v>0.92</v>
      </c>
      <c r="G68">
        <v>0.8</v>
      </c>
    </row>
    <row r="69" spans="1:7" x14ac:dyDescent="0.25">
      <c r="A69" s="6"/>
      <c r="B69" s="9"/>
      <c r="C69" s="9"/>
      <c r="D69" s="9"/>
      <c r="E69" s="6" t="s">
        <v>241</v>
      </c>
      <c r="F69" s="9">
        <v>1.29</v>
      </c>
      <c r="G69">
        <v>2.1</v>
      </c>
    </row>
    <row r="70" spans="1:7" x14ac:dyDescent="0.25">
      <c r="A70" s="6"/>
      <c r="B70" s="9"/>
      <c r="C70" s="9"/>
      <c r="D70" s="9"/>
      <c r="E70" s="6" t="s">
        <v>242</v>
      </c>
      <c r="F70" s="9">
        <v>0.74</v>
      </c>
      <c r="G70">
        <v>1.2</v>
      </c>
    </row>
    <row r="71" spans="1:7" x14ac:dyDescent="0.25">
      <c r="A71" s="6"/>
      <c r="B71" s="9"/>
      <c r="C71" s="9"/>
      <c r="D71" s="9"/>
      <c r="E71" s="6" t="s">
        <v>263</v>
      </c>
      <c r="F71" s="9">
        <v>1.05</v>
      </c>
      <c r="G71">
        <v>1.32</v>
      </c>
    </row>
    <row r="72" spans="1:7" x14ac:dyDescent="0.25">
      <c r="A72" s="6"/>
      <c r="B72" s="9"/>
      <c r="C72" s="9"/>
      <c r="D72" s="9"/>
      <c r="E72" s="6" t="s">
        <v>264</v>
      </c>
      <c r="F72" s="9">
        <v>1.23</v>
      </c>
      <c r="G72">
        <v>1.7</v>
      </c>
    </row>
    <row r="73" spans="1:7" x14ac:dyDescent="0.25">
      <c r="A73" s="6"/>
      <c r="B73" s="9"/>
      <c r="C73" s="9"/>
      <c r="D73" s="9"/>
      <c r="E73" s="6" t="s">
        <v>265</v>
      </c>
      <c r="F73" s="9">
        <v>1.19</v>
      </c>
      <c r="G73">
        <v>1.2</v>
      </c>
    </row>
    <row r="74" spans="1:7" x14ac:dyDescent="0.25">
      <c r="A74" s="6"/>
      <c r="B74" s="9"/>
      <c r="C74" s="9"/>
      <c r="D74" s="9"/>
      <c r="E74" s="6" t="s">
        <v>697</v>
      </c>
      <c r="F74" s="9">
        <v>0.51</v>
      </c>
      <c r="G74">
        <v>0.7</v>
      </c>
    </row>
    <row r="75" spans="1:7" x14ac:dyDescent="0.25">
      <c r="A75" s="6"/>
      <c r="B75" s="9"/>
      <c r="C75" s="9"/>
      <c r="D75" s="9"/>
      <c r="E75" s="6" t="s">
        <v>243</v>
      </c>
      <c r="F75" s="9">
        <v>1.05</v>
      </c>
      <c r="G75">
        <v>1</v>
      </c>
    </row>
    <row r="76" spans="1:7" x14ac:dyDescent="0.25">
      <c r="A76" s="6"/>
      <c r="B76" s="9"/>
      <c r="C76" s="9"/>
      <c r="D76" s="9"/>
      <c r="E76" s="6" t="s">
        <v>244</v>
      </c>
      <c r="F76" s="9">
        <v>1.02</v>
      </c>
      <c r="G76">
        <v>1.7</v>
      </c>
    </row>
    <row r="77" spans="1:7" x14ac:dyDescent="0.25">
      <c r="A77" s="6"/>
      <c r="B77" s="9"/>
      <c r="C77" s="9"/>
      <c r="D77" s="9"/>
      <c r="E77" s="6" t="s">
        <v>515</v>
      </c>
      <c r="F77" s="9">
        <v>1</v>
      </c>
      <c r="G77">
        <v>1.1000000000000001</v>
      </c>
    </row>
    <row r="78" spans="1:7" x14ac:dyDescent="0.25">
      <c r="A78" s="6"/>
      <c r="B78" s="9"/>
      <c r="C78" s="9"/>
      <c r="D78" s="9"/>
      <c r="E78" s="6" t="s">
        <v>516</v>
      </c>
      <c r="F78" s="9">
        <v>1</v>
      </c>
      <c r="G78">
        <v>1.1000000000000001</v>
      </c>
    </row>
    <row r="79" spans="1:7" x14ac:dyDescent="0.25">
      <c r="A79" s="6"/>
      <c r="B79" s="9"/>
      <c r="C79" s="9"/>
      <c r="D79" s="9"/>
      <c r="E79" s="6" t="s">
        <v>260</v>
      </c>
      <c r="F79" s="9">
        <v>0.9</v>
      </c>
      <c r="G79">
        <v>1.1000000000000001</v>
      </c>
    </row>
    <row r="80" spans="1:7" x14ac:dyDescent="0.25">
      <c r="A80" s="6"/>
      <c r="B80" s="9"/>
      <c r="C80" s="9"/>
      <c r="D80" s="9"/>
      <c r="E80" s="6" t="s">
        <v>517</v>
      </c>
      <c r="F80" s="9">
        <v>0.19</v>
      </c>
      <c r="G80">
        <v>0.2</v>
      </c>
    </row>
    <row r="81" spans="1:7" x14ac:dyDescent="0.25">
      <c r="A81" s="6"/>
      <c r="B81" s="9"/>
      <c r="C81" s="9"/>
      <c r="D81" s="9"/>
      <c r="E81" s="6" t="s">
        <v>542</v>
      </c>
      <c r="F81" s="9">
        <v>0.61</v>
      </c>
    </row>
    <row r="82" spans="1:7" x14ac:dyDescent="0.25">
      <c r="A82" s="6"/>
      <c r="B82" s="9"/>
      <c r="C82" s="9"/>
      <c r="D82" s="9"/>
      <c r="E82" s="6" t="s">
        <v>518</v>
      </c>
      <c r="F82" s="9">
        <v>1.68</v>
      </c>
      <c r="G82">
        <v>1.2</v>
      </c>
    </row>
    <row r="83" spans="1:7" x14ac:dyDescent="0.25">
      <c r="A83" s="6"/>
      <c r="B83" s="9"/>
      <c r="C83" s="9"/>
      <c r="D83" s="9"/>
      <c r="E83" s="6" t="s">
        <v>239</v>
      </c>
      <c r="F83" s="9">
        <v>0.94</v>
      </c>
      <c r="G83">
        <v>1.2</v>
      </c>
    </row>
    <row r="84" spans="1:7" x14ac:dyDescent="0.25">
      <c r="A84" s="6"/>
      <c r="B84" s="9"/>
      <c r="C84" s="9"/>
      <c r="D84" s="9"/>
      <c r="E84" s="6" t="s">
        <v>246</v>
      </c>
      <c r="F84" s="9">
        <v>0.64</v>
      </c>
      <c r="G84">
        <v>0.9</v>
      </c>
    </row>
    <row r="85" spans="1:7" x14ac:dyDescent="0.25">
      <c r="A85" s="6"/>
      <c r="B85" s="9"/>
      <c r="C85" s="9"/>
      <c r="D85" s="9"/>
      <c r="E85" s="6" t="s">
        <v>245</v>
      </c>
      <c r="F85" s="9">
        <v>1.53</v>
      </c>
      <c r="G85">
        <v>2.4</v>
      </c>
    </row>
    <row r="86" spans="1:7" x14ac:dyDescent="0.25">
      <c r="A86" s="6"/>
      <c r="B86" s="9"/>
      <c r="C86" s="9"/>
      <c r="D86" s="9"/>
      <c r="E86" s="6" t="s">
        <v>520</v>
      </c>
      <c r="F86" s="9">
        <v>0.98</v>
      </c>
      <c r="G86">
        <v>0.9</v>
      </c>
    </row>
    <row r="87" spans="1:7" x14ac:dyDescent="0.25">
      <c r="A87" s="6"/>
      <c r="B87" s="9"/>
      <c r="C87" s="9"/>
      <c r="D87" s="9"/>
      <c r="E87" s="6" t="s">
        <v>519</v>
      </c>
      <c r="F87" s="9">
        <v>1.21</v>
      </c>
      <c r="G87">
        <v>1.52</v>
      </c>
    </row>
    <row r="88" spans="1:7" x14ac:dyDescent="0.25">
      <c r="A88" s="6"/>
      <c r="B88" s="9"/>
      <c r="C88" s="9"/>
      <c r="D88" s="9"/>
      <c r="E88" s="6" t="s">
        <v>266</v>
      </c>
      <c r="F88" s="9">
        <v>0.71</v>
      </c>
      <c r="G88">
        <v>0.89</v>
      </c>
    </row>
    <row r="89" spans="1:7" x14ac:dyDescent="0.25">
      <c r="A89" s="6"/>
      <c r="B89" s="9"/>
      <c r="C89" s="9"/>
      <c r="D89" s="9"/>
      <c r="E89" s="6" t="s">
        <v>247</v>
      </c>
      <c r="F89" s="9">
        <v>1.1000000000000001</v>
      </c>
      <c r="G89">
        <v>1.7</v>
      </c>
    </row>
    <row r="90" spans="1:7" x14ac:dyDescent="0.25">
      <c r="A90" s="6"/>
      <c r="B90" s="9"/>
      <c r="C90" s="9"/>
      <c r="D90" s="9"/>
      <c r="E90" s="6" t="s">
        <v>236</v>
      </c>
      <c r="F90" s="9">
        <v>1.3</v>
      </c>
      <c r="G90">
        <v>1.7</v>
      </c>
    </row>
    <row r="91" spans="1:7" x14ac:dyDescent="0.25">
      <c r="A91" s="6"/>
      <c r="B91" s="9"/>
      <c r="C91" s="9"/>
      <c r="D91" s="9"/>
      <c r="E91" s="6" t="s">
        <v>521</v>
      </c>
      <c r="F91" s="9">
        <v>0.54</v>
      </c>
      <c r="G91">
        <v>0.68</v>
      </c>
    </row>
    <row r="92" spans="1:7" x14ac:dyDescent="0.25">
      <c r="A92" s="6"/>
      <c r="B92" s="9"/>
      <c r="C92" s="9"/>
      <c r="D92" s="9"/>
      <c r="E92" s="6" t="s">
        <v>270</v>
      </c>
      <c r="F92" s="9">
        <v>3.68</v>
      </c>
      <c r="G92">
        <v>4.6100000000000003</v>
      </c>
    </row>
    <row r="93" spans="1:7" x14ac:dyDescent="0.25">
      <c r="E93" s="6" t="s">
        <v>269</v>
      </c>
      <c r="F93" s="9">
        <v>2.4</v>
      </c>
      <c r="G93">
        <v>3.01</v>
      </c>
    </row>
    <row r="94" spans="1:7" x14ac:dyDescent="0.25">
      <c r="E94" s="6" t="s">
        <v>268</v>
      </c>
      <c r="F94" s="9">
        <v>1.8</v>
      </c>
      <c r="G94">
        <v>2.2599999999999998</v>
      </c>
    </row>
    <row r="95" spans="1:7" x14ac:dyDescent="0.25">
      <c r="E95" s="6" t="s">
        <v>267</v>
      </c>
      <c r="F95" s="9">
        <v>1.2</v>
      </c>
      <c r="G95">
        <v>1.5</v>
      </c>
    </row>
    <row r="96" spans="1:7" x14ac:dyDescent="0.25">
      <c r="E96" s="6" t="s">
        <v>522</v>
      </c>
      <c r="F96" s="9">
        <v>0.69</v>
      </c>
      <c r="G96">
        <v>0.6</v>
      </c>
    </row>
    <row r="97" spans="5:7" x14ac:dyDescent="0.25">
      <c r="E97" s="6" t="s">
        <v>525</v>
      </c>
      <c r="F97" s="9">
        <v>0.63</v>
      </c>
      <c r="G97">
        <v>0.8</v>
      </c>
    </row>
    <row r="98" spans="5:7" x14ac:dyDescent="0.25">
      <c r="E98" s="6" t="s">
        <v>556</v>
      </c>
      <c r="F98" s="9">
        <v>0.63</v>
      </c>
      <c r="G98">
        <v>0.9</v>
      </c>
    </row>
    <row r="99" spans="5:7" x14ac:dyDescent="0.25">
      <c r="E99" s="6" t="s">
        <v>523</v>
      </c>
      <c r="F99" s="9">
        <v>1.24</v>
      </c>
      <c r="G99">
        <v>0.8</v>
      </c>
    </row>
    <row r="100" spans="5:7" x14ac:dyDescent="0.25">
      <c r="E100" s="6" t="s">
        <v>524</v>
      </c>
      <c r="F100" s="9">
        <v>0.63</v>
      </c>
      <c r="G100">
        <v>0.8</v>
      </c>
    </row>
    <row r="101" spans="5:7" x14ac:dyDescent="0.25">
      <c r="E101" s="6" t="s">
        <v>544</v>
      </c>
      <c r="F101" s="9">
        <v>0.36</v>
      </c>
      <c r="G101">
        <v>0.6</v>
      </c>
    </row>
    <row r="102" spans="5:7" x14ac:dyDescent="0.25">
      <c r="E102" s="6" t="s">
        <v>543</v>
      </c>
      <c r="F102" s="9">
        <v>0.53</v>
      </c>
      <c r="G102">
        <v>1</v>
      </c>
    </row>
    <row r="103" spans="5:7" x14ac:dyDescent="0.25">
      <c r="E103" s="6" t="s">
        <v>545</v>
      </c>
      <c r="F103" s="9">
        <v>0.8</v>
      </c>
      <c r="G103">
        <v>1.5</v>
      </c>
    </row>
    <row r="104" spans="5:7" x14ac:dyDescent="0.25">
      <c r="E104" s="6" t="s">
        <v>526</v>
      </c>
      <c r="F104" s="9">
        <v>6.7000000000000004E-2</v>
      </c>
      <c r="G104">
        <v>0.7</v>
      </c>
    </row>
    <row r="105" spans="5:7" x14ac:dyDescent="0.25">
      <c r="E105" s="6" t="s">
        <v>546</v>
      </c>
      <c r="F105" s="9">
        <v>0.57999999999999996</v>
      </c>
      <c r="G105">
        <v>0.9</v>
      </c>
    </row>
    <row r="106" spans="5:7" x14ac:dyDescent="0.25">
      <c r="E106" s="6" t="s">
        <v>547</v>
      </c>
      <c r="F106" s="9">
        <v>0.95</v>
      </c>
      <c r="G106">
        <v>1.4</v>
      </c>
    </row>
    <row r="107" spans="5:7" x14ac:dyDescent="0.25">
      <c r="E107" s="6" t="s">
        <v>56</v>
      </c>
      <c r="F107" s="9">
        <v>1.59</v>
      </c>
      <c r="G107">
        <v>1.9</v>
      </c>
    </row>
    <row r="108" spans="5:7" x14ac:dyDescent="0.25">
      <c r="E108" s="6"/>
      <c r="F108" s="9"/>
    </row>
    <row r="109" spans="5:7" x14ac:dyDescent="0.25">
      <c r="E109" s="6"/>
      <c r="F109" s="9"/>
    </row>
    <row r="110" spans="5:7" x14ac:dyDescent="0.25">
      <c r="E110" s="6"/>
      <c r="F110" s="9"/>
    </row>
    <row r="111" spans="5:7" x14ac:dyDescent="0.25">
      <c r="E111" s="6"/>
      <c r="F111" s="9"/>
    </row>
  </sheetData>
  <sheetProtection password="C5B9" sheet="1" objects="1" scenarios="1"/>
  <sortState xmlns:xlrd2="http://schemas.microsoft.com/office/spreadsheetml/2017/richdata2" ref="A2:C33">
    <sortCondition ref="A1"/>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6" tint="0.59999389629810485"/>
  </sheetPr>
  <dimension ref="A1:D12"/>
  <sheetViews>
    <sheetView workbookViewId="0">
      <selection activeCell="J31" sqref="J31"/>
    </sheetView>
  </sheetViews>
  <sheetFormatPr defaultRowHeight="12.75" x14ac:dyDescent="0.2"/>
  <cols>
    <col min="1" max="1" width="9.140625" style="13"/>
    <col min="2" max="2" width="12" style="14" bestFit="1" customWidth="1"/>
    <col min="3" max="3" width="111.5703125" style="13" bestFit="1" customWidth="1"/>
    <col min="4" max="4" width="24.7109375" style="14" bestFit="1" customWidth="1"/>
    <col min="5" max="257" width="9.140625" style="13"/>
    <col min="258" max="258" width="12" style="13" bestFit="1" customWidth="1"/>
    <col min="259" max="259" width="111.5703125" style="13" bestFit="1" customWidth="1"/>
    <col min="260" max="260" width="24.7109375" style="13" bestFit="1" customWidth="1"/>
    <col min="261" max="513" width="9.140625" style="13"/>
    <col min="514" max="514" width="12" style="13" bestFit="1" customWidth="1"/>
    <col min="515" max="515" width="111.5703125" style="13" bestFit="1" customWidth="1"/>
    <col min="516" max="516" width="24.7109375" style="13" bestFit="1" customWidth="1"/>
    <col min="517" max="769" width="9.140625" style="13"/>
    <col min="770" max="770" width="12" style="13" bestFit="1" customWidth="1"/>
    <col min="771" max="771" width="111.5703125" style="13" bestFit="1" customWidth="1"/>
    <col min="772" max="772" width="24.7109375" style="13" bestFit="1" customWidth="1"/>
    <col min="773" max="1025" width="9.140625" style="13"/>
    <col min="1026" max="1026" width="12" style="13" bestFit="1" customWidth="1"/>
    <col min="1027" max="1027" width="111.5703125" style="13" bestFit="1" customWidth="1"/>
    <col min="1028" max="1028" width="24.7109375" style="13" bestFit="1" customWidth="1"/>
    <col min="1029" max="1281" width="9.140625" style="13"/>
    <col min="1282" max="1282" width="12" style="13" bestFit="1" customWidth="1"/>
    <col min="1283" max="1283" width="111.5703125" style="13" bestFit="1" customWidth="1"/>
    <col min="1284" max="1284" width="24.7109375" style="13" bestFit="1" customWidth="1"/>
    <col min="1285" max="1537" width="9.140625" style="13"/>
    <col min="1538" max="1538" width="12" style="13" bestFit="1" customWidth="1"/>
    <col min="1539" max="1539" width="111.5703125" style="13" bestFit="1" customWidth="1"/>
    <col min="1540" max="1540" width="24.7109375" style="13" bestFit="1" customWidth="1"/>
    <col min="1541" max="1793" width="9.140625" style="13"/>
    <col min="1794" max="1794" width="12" style="13" bestFit="1" customWidth="1"/>
    <col min="1795" max="1795" width="111.5703125" style="13" bestFit="1" customWidth="1"/>
    <col min="1796" max="1796" width="24.7109375" style="13" bestFit="1" customWidth="1"/>
    <col min="1797" max="2049" width="9.140625" style="13"/>
    <col min="2050" max="2050" width="12" style="13" bestFit="1" customWidth="1"/>
    <col min="2051" max="2051" width="111.5703125" style="13" bestFit="1" customWidth="1"/>
    <col min="2052" max="2052" width="24.7109375" style="13" bestFit="1" customWidth="1"/>
    <col min="2053" max="2305" width="9.140625" style="13"/>
    <col min="2306" max="2306" width="12" style="13" bestFit="1" customWidth="1"/>
    <col min="2307" max="2307" width="111.5703125" style="13" bestFit="1" customWidth="1"/>
    <col min="2308" max="2308" width="24.7109375" style="13" bestFit="1" customWidth="1"/>
    <col min="2309" max="2561" width="9.140625" style="13"/>
    <col min="2562" max="2562" width="12" style="13" bestFit="1" customWidth="1"/>
    <col min="2563" max="2563" width="111.5703125" style="13" bestFit="1" customWidth="1"/>
    <col min="2564" max="2564" width="24.7109375" style="13" bestFit="1" customWidth="1"/>
    <col min="2565" max="2817" width="9.140625" style="13"/>
    <col min="2818" max="2818" width="12" style="13" bestFit="1" customWidth="1"/>
    <col min="2819" max="2819" width="111.5703125" style="13" bestFit="1" customWidth="1"/>
    <col min="2820" max="2820" width="24.7109375" style="13" bestFit="1" customWidth="1"/>
    <col min="2821" max="3073" width="9.140625" style="13"/>
    <col min="3074" max="3074" width="12" style="13" bestFit="1" customWidth="1"/>
    <col min="3075" max="3075" width="111.5703125" style="13" bestFit="1" customWidth="1"/>
    <col min="3076" max="3076" width="24.7109375" style="13" bestFit="1" customWidth="1"/>
    <col min="3077" max="3329" width="9.140625" style="13"/>
    <col min="3330" max="3330" width="12" style="13" bestFit="1" customWidth="1"/>
    <col min="3331" max="3331" width="111.5703125" style="13" bestFit="1" customWidth="1"/>
    <col min="3332" max="3332" width="24.7109375" style="13" bestFit="1" customWidth="1"/>
    <col min="3333" max="3585" width="9.140625" style="13"/>
    <col min="3586" max="3586" width="12" style="13" bestFit="1" customWidth="1"/>
    <col min="3587" max="3587" width="111.5703125" style="13" bestFit="1" customWidth="1"/>
    <col min="3588" max="3588" width="24.7109375" style="13" bestFit="1" customWidth="1"/>
    <col min="3589" max="3841" width="9.140625" style="13"/>
    <col min="3842" max="3842" width="12" style="13" bestFit="1" customWidth="1"/>
    <col min="3843" max="3843" width="111.5703125" style="13" bestFit="1" customWidth="1"/>
    <col min="3844" max="3844" width="24.7109375" style="13" bestFit="1" customWidth="1"/>
    <col min="3845" max="4097" width="9.140625" style="13"/>
    <col min="4098" max="4098" width="12" style="13" bestFit="1" customWidth="1"/>
    <col min="4099" max="4099" width="111.5703125" style="13" bestFit="1" customWidth="1"/>
    <col min="4100" max="4100" width="24.7109375" style="13" bestFit="1" customWidth="1"/>
    <col min="4101" max="4353" width="9.140625" style="13"/>
    <col min="4354" max="4354" width="12" style="13" bestFit="1" customWidth="1"/>
    <col min="4355" max="4355" width="111.5703125" style="13" bestFit="1" customWidth="1"/>
    <col min="4356" max="4356" width="24.7109375" style="13" bestFit="1" customWidth="1"/>
    <col min="4357" max="4609" width="9.140625" style="13"/>
    <col min="4610" max="4610" width="12" style="13" bestFit="1" customWidth="1"/>
    <col min="4611" max="4611" width="111.5703125" style="13" bestFit="1" customWidth="1"/>
    <col min="4612" max="4612" width="24.7109375" style="13" bestFit="1" customWidth="1"/>
    <col min="4613" max="4865" width="9.140625" style="13"/>
    <col min="4866" max="4866" width="12" style="13" bestFit="1" customWidth="1"/>
    <col min="4867" max="4867" width="111.5703125" style="13" bestFit="1" customWidth="1"/>
    <col min="4868" max="4868" width="24.7109375" style="13" bestFit="1" customWidth="1"/>
    <col min="4869" max="5121" width="9.140625" style="13"/>
    <col min="5122" max="5122" width="12" style="13" bestFit="1" customWidth="1"/>
    <col min="5123" max="5123" width="111.5703125" style="13" bestFit="1" customWidth="1"/>
    <col min="5124" max="5124" width="24.7109375" style="13" bestFit="1" customWidth="1"/>
    <col min="5125" max="5377" width="9.140625" style="13"/>
    <col min="5378" max="5378" width="12" style="13" bestFit="1" customWidth="1"/>
    <col min="5379" max="5379" width="111.5703125" style="13" bestFit="1" customWidth="1"/>
    <col min="5380" max="5380" width="24.7109375" style="13" bestFit="1" customWidth="1"/>
    <col min="5381" max="5633" width="9.140625" style="13"/>
    <col min="5634" max="5634" width="12" style="13" bestFit="1" customWidth="1"/>
    <col min="5635" max="5635" width="111.5703125" style="13" bestFit="1" customWidth="1"/>
    <col min="5636" max="5636" width="24.7109375" style="13" bestFit="1" customWidth="1"/>
    <col min="5637" max="5889" width="9.140625" style="13"/>
    <col min="5890" max="5890" width="12" style="13" bestFit="1" customWidth="1"/>
    <col min="5891" max="5891" width="111.5703125" style="13" bestFit="1" customWidth="1"/>
    <col min="5892" max="5892" width="24.7109375" style="13" bestFit="1" customWidth="1"/>
    <col min="5893" max="6145" width="9.140625" style="13"/>
    <col min="6146" max="6146" width="12" style="13" bestFit="1" customWidth="1"/>
    <col min="6147" max="6147" width="111.5703125" style="13" bestFit="1" customWidth="1"/>
    <col min="6148" max="6148" width="24.7109375" style="13" bestFit="1" customWidth="1"/>
    <col min="6149" max="6401" width="9.140625" style="13"/>
    <col min="6402" max="6402" width="12" style="13" bestFit="1" customWidth="1"/>
    <col min="6403" max="6403" width="111.5703125" style="13" bestFit="1" customWidth="1"/>
    <col min="6404" max="6404" width="24.7109375" style="13" bestFit="1" customWidth="1"/>
    <col min="6405" max="6657" width="9.140625" style="13"/>
    <col min="6658" max="6658" width="12" style="13" bestFit="1" customWidth="1"/>
    <col min="6659" max="6659" width="111.5703125" style="13" bestFit="1" customWidth="1"/>
    <col min="6660" max="6660" width="24.7109375" style="13" bestFit="1" customWidth="1"/>
    <col min="6661" max="6913" width="9.140625" style="13"/>
    <col min="6914" max="6914" width="12" style="13" bestFit="1" customWidth="1"/>
    <col min="6915" max="6915" width="111.5703125" style="13" bestFit="1" customWidth="1"/>
    <col min="6916" max="6916" width="24.7109375" style="13" bestFit="1" customWidth="1"/>
    <col min="6917" max="7169" width="9.140625" style="13"/>
    <col min="7170" max="7170" width="12" style="13" bestFit="1" customWidth="1"/>
    <col min="7171" max="7171" width="111.5703125" style="13" bestFit="1" customWidth="1"/>
    <col min="7172" max="7172" width="24.7109375" style="13" bestFit="1" customWidth="1"/>
    <col min="7173" max="7425" width="9.140625" style="13"/>
    <col min="7426" max="7426" width="12" style="13" bestFit="1" customWidth="1"/>
    <col min="7427" max="7427" width="111.5703125" style="13" bestFit="1" customWidth="1"/>
    <col min="7428" max="7428" width="24.7109375" style="13" bestFit="1" customWidth="1"/>
    <col min="7429" max="7681" width="9.140625" style="13"/>
    <col min="7682" max="7682" width="12" style="13" bestFit="1" customWidth="1"/>
    <col min="7683" max="7683" width="111.5703125" style="13" bestFit="1" customWidth="1"/>
    <col min="7684" max="7684" width="24.7109375" style="13" bestFit="1" customWidth="1"/>
    <col min="7685" max="7937" width="9.140625" style="13"/>
    <col min="7938" max="7938" width="12" style="13" bestFit="1" customWidth="1"/>
    <col min="7939" max="7939" width="111.5703125" style="13" bestFit="1" customWidth="1"/>
    <col min="7940" max="7940" width="24.7109375" style="13" bestFit="1" customWidth="1"/>
    <col min="7941" max="8193" width="9.140625" style="13"/>
    <col min="8194" max="8194" width="12" style="13" bestFit="1" customWidth="1"/>
    <col min="8195" max="8195" width="111.5703125" style="13" bestFit="1" customWidth="1"/>
    <col min="8196" max="8196" width="24.7109375" style="13" bestFit="1" customWidth="1"/>
    <col min="8197" max="8449" width="9.140625" style="13"/>
    <col min="8450" max="8450" width="12" style="13" bestFit="1" customWidth="1"/>
    <col min="8451" max="8451" width="111.5703125" style="13" bestFit="1" customWidth="1"/>
    <col min="8452" max="8452" width="24.7109375" style="13" bestFit="1" customWidth="1"/>
    <col min="8453" max="8705" width="9.140625" style="13"/>
    <col min="8706" max="8706" width="12" style="13" bestFit="1" customWidth="1"/>
    <col min="8707" max="8707" width="111.5703125" style="13" bestFit="1" customWidth="1"/>
    <col min="8708" max="8708" width="24.7109375" style="13" bestFit="1" customWidth="1"/>
    <col min="8709" max="8961" width="9.140625" style="13"/>
    <col min="8962" max="8962" width="12" style="13" bestFit="1" customWidth="1"/>
    <col min="8963" max="8963" width="111.5703125" style="13" bestFit="1" customWidth="1"/>
    <col min="8964" max="8964" width="24.7109375" style="13" bestFit="1" customWidth="1"/>
    <col min="8965" max="9217" width="9.140625" style="13"/>
    <col min="9218" max="9218" width="12" style="13" bestFit="1" customWidth="1"/>
    <col min="9219" max="9219" width="111.5703125" style="13" bestFit="1" customWidth="1"/>
    <col min="9220" max="9220" width="24.7109375" style="13" bestFit="1" customWidth="1"/>
    <col min="9221" max="9473" width="9.140625" style="13"/>
    <col min="9474" max="9474" width="12" style="13" bestFit="1" customWidth="1"/>
    <col min="9475" max="9475" width="111.5703125" style="13" bestFit="1" customWidth="1"/>
    <col min="9476" max="9476" width="24.7109375" style="13" bestFit="1" customWidth="1"/>
    <col min="9477" max="9729" width="9.140625" style="13"/>
    <col min="9730" max="9730" width="12" style="13" bestFit="1" customWidth="1"/>
    <col min="9731" max="9731" width="111.5703125" style="13" bestFit="1" customWidth="1"/>
    <col min="9732" max="9732" width="24.7109375" style="13" bestFit="1" customWidth="1"/>
    <col min="9733" max="9985" width="9.140625" style="13"/>
    <col min="9986" max="9986" width="12" style="13" bestFit="1" customWidth="1"/>
    <col min="9987" max="9987" width="111.5703125" style="13" bestFit="1" customWidth="1"/>
    <col min="9988" max="9988" width="24.7109375" style="13" bestFit="1" customWidth="1"/>
    <col min="9989" max="10241" width="9.140625" style="13"/>
    <col min="10242" max="10242" width="12" style="13" bestFit="1" customWidth="1"/>
    <col min="10243" max="10243" width="111.5703125" style="13" bestFit="1" customWidth="1"/>
    <col min="10244" max="10244" width="24.7109375" style="13" bestFit="1" customWidth="1"/>
    <col min="10245" max="10497" width="9.140625" style="13"/>
    <col min="10498" max="10498" width="12" style="13" bestFit="1" customWidth="1"/>
    <col min="10499" max="10499" width="111.5703125" style="13" bestFit="1" customWidth="1"/>
    <col min="10500" max="10500" width="24.7109375" style="13" bestFit="1" customWidth="1"/>
    <col min="10501" max="10753" width="9.140625" style="13"/>
    <col min="10754" max="10754" width="12" style="13" bestFit="1" customWidth="1"/>
    <col min="10755" max="10755" width="111.5703125" style="13" bestFit="1" customWidth="1"/>
    <col min="10756" max="10756" width="24.7109375" style="13" bestFit="1" customWidth="1"/>
    <col min="10757" max="11009" width="9.140625" style="13"/>
    <col min="11010" max="11010" width="12" style="13" bestFit="1" customWidth="1"/>
    <col min="11011" max="11011" width="111.5703125" style="13" bestFit="1" customWidth="1"/>
    <col min="11012" max="11012" width="24.7109375" style="13" bestFit="1" customWidth="1"/>
    <col min="11013" max="11265" width="9.140625" style="13"/>
    <col min="11266" max="11266" width="12" style="13" bestFit="1" customWidth="1"/>
    <col min="11267" max="11267" width="111.5703125" style="13" bestFit="1" customWidth="1"/>
    <col min="11268" max="11268" width="24.7109375" style="13" bestFit="1" customWidth="1"/>
    <col min="11269" max="11521" width="9.140625" style="13"/>
    <col min="11522" max="11522" width="12" style="13" bestFit="1" customWidth="1"/>
    <col min="11523" max="11523" width="111.5703125" style="13" bestFit="1" customWidth="1"/>
    <col min="11524" max="11524" width="24.7109375" style="13" bestFit="1" customWidth="1"/>
    <col min="11525" max="11777" width="9.140625" style="13"/>
    <col min="11778" max="11778" width="12" style="13" bestFit="1" customWidth="1"/>
    <col min="11779" max="11779" width="111.5703125" style="13" bestFit="1" customWidth="1"/>
    <col min="11780" max="11780" width="24.7109375" style="13" bestFit="1" customWidth="1"/>
    <col min="11781" max="12033" width="9.140625" style="13"/>
    <col min="12034" max="12034" width="12" style="13" bestFit="1" customWidth="1"/>
    <col min="12035" max="12035" width="111.5703125" style="13" bestFit="1" customWidth="1"/>
    <col min="12036" max="12036" width="24.7109375" style="13" bestFit="1" customWidth="1"/>
    <col min="12037" max="12289" width="9.140625" style="13"/>
    <col min="12290" max="12290" width="12" style="13" bestFit="1" customWidth="1"/>
    <col min="12291" max="12291" width="111.5703125" style="13" bestFit="1" customWidth="1"/>
    <col min="12292" max="12292" width="24.7109375" style="13" bestFit="1" customWidth="1"/>
    <col min="12293" max="12545" width="9.140625" style="13"/>
    <col min="12546" max="12546" width="12" style="13" bestFit="1" customWidth="1"/>
    <col min="12547" max="12547" width="111.5703125" style="13" bestFit="1" customWidth="1"/>
    <col min="12548" max="12548" width="24.7109375" style="13" bestFit="1" customWidth="1"/>
    <col min="12549" max="12801" width="9.140625" style="13"/>
    <col min="12802" max="12802" width="12" style="13" bestFit="1" customWidth="1"/>
    <col min="12803" max="12803" width="111.5703125" style="13" bestFit="1" customWidth="1"/>
    <col min="12804" max="12804" width="24.7109375" style="13" bestFit="1" customWidth="1"/>
    <col min="12805" max="13057" width="9.140625" style="13"/>
    <col min="13058" max="13058" width="12" style="13" bestFit="1" customWidth="1"/>
    <col min="13059" max="13059" width="111.5703125" style="13" bestFit="1" customWidth="1"/>
    <col min="13060" max="13060" width="24.7109375" style="13" bestFit="1" customWidth="1"/>
    <col min="13061" max="13313" width="9.140625" style="13"/>
    <col min="13314" max="13314" width="12" style="13" bestFit="1" customWidth="1"/>
    <col min="13315" max="13315" width="111.5703125" style="13" bestFit="1" customWidth="1"/>
    <col min="13316" max="13316" width="24.7109375" style="13" bestFit="1" customWidth="1"/>
    <col min="13317" max="13569" width="9.140625" style="13"/>
    <col min="13570" max="13570" width="12" style="13" bestFit="1" customWidth="1"/>
    <col min="13571" max="13571" width="111.5703125" style="13" bestFit="1" customWidth="1"/>
    <col min="13572" max="13572" width="24.7109375" style="13" bestFit="1" customWidth="1"/>
    <col min="13573" max="13825" width="9.140625" style="13"/>
    <col min="13826" max="13826" width="12" style="13" bestFit="1" customWidth="1"/>
    <col min="13827" max="13827" width="111.5703125" style="13" bestFit="1" customWidth="1"/>
    <col min="13828" max="13828" width="24.7109375" style="13" bestFit="1" customWidth="1"/>
    <col min="13829" max="14081" width="9.140625" style="13"/>
    <col min="14082" max="14082" width="12" style="13" bestFit="1" customWidth="1"/>
    <col min="14083" max="14083" width="111.5703125" style="13" bestFit="1" customWidth="1"/>
    <col min="14084" max="14084" width="24.7109375" style="13" bestFit="1" customWidth="1"/>
    <col min="14085" max="14337" width="9.140625" style="13"/>
    <col min="14338" max="14338" width="12" style="13" bestFit="1" customWidth="1"/>
    <col min="14339" max="14339" width="111.5703125" style="13" bestFit="1" customWidth="1"/>
    <col min="14340" max="14340" width="24.7109375" style="13" bestFit="1" customWidth="1"/>
    <col min="14341" max="14593" width="9.140625" style="13"/>
    <col min="14594" max="14594" width="12" style="13" bestFit="1" customWidth="1"/>
    <col min="14595" max="14595" width="111.5703125" style="13" bestFit="1" customWidth="1"/>
    <col min="14596" max="14596" width="24.7109375" style="13" bestFit="1" customWidth="1"/>
    <col min="14597" max="14849" width="9.140625" style="13"/>
    <col min="14850" max="14850" width="12" style="13" bestFit="1" customWidth="1"/>
    <col min="14851" max="14851" width="111.5703125" style="13" bestFit="1" customWidth="1"/>
    <col min="14852" max="14852" width="24.7109375" style="13" bestFit="1" customWidth="1"/>
    <col min="14853" max="15105" width="9.140625" style="13"/>
    <col min="15106" max="15106" width="12" style="13" bestFit="1" customWidth="1"/>
    <col min="15107" max="15107" width="111.5703125" style="13" bestFit="1" customWidth="1"/>
    <col min="15108" max="15108" width="24.7109375" style="13" bestFit="1" customWidth="1"/>
    <col min="15109" max="15361" width="9.140625" style="13"/>
    <col min="15362" max="15362" width="12" style="13" bestFit="1" customWidth="1"/>
    <col min="15363" max="15363" width="111.5703125" style="13" bestFit="1" customWidth="1"/>
    <col min="15364" max="15364" width="24.7109375" style="13" bestFit="1" customWidth="1"/>
    <col min="15365" max="15617" width="9.140625" style="13"/>
    <col min="15618" max="15618" width="12" style="13" bestFit="1" customWidth="1"/>
    <col min="15619" max="15619" width="111.5703125" style="13" bestFit="1" customWidth="1"/>
    <col min="15620" max="15620" width="24.7109375" style="13" bestFit="1" customWidth="1"/>
    <col min="15621" max="15873" width="9.140625" style="13"/>
    <col min="15874" max="15874" width="12" style="13" bestFit="1" customWidth="1"/>
    <col min="15875" max="15875" width="111.5703125" style="13" bestFit="1" customWidth="1"/>
    <col min="15876" max="15876" width="24.7109375" style="13" bestFit="1" customWidth="1"/>
    <col min="15877" max="16129" width="9.140625" style="13"/>
    <col min="16130" max="16130" width="12" style="13" bestFit="1" customWidth="1"/>
    <col min="16131" max="16131" width="111.5703125" style="13" bestFit="1" customWidth="1"/>
    <col min="16132" max="16132" width="24.7109375" style="13" bestFit="1" customWidth="1"/>
    <col min="16133" max="16384" width="9.140625" style="13"/>
  </cols>
  <sheetData>
    <row r="1" spans="1:4" x14ac:dyDescent="0.2">
      <c r="B1" s="17" t="s">
        <v>279</v>
      </c>
      <c r="C1" s="17" t="s">
        <v>1</v>
      </c>
      <c r="D1" s="17" t="s">
        <v>280</v>
      </c>
    </row>
    <row r="2" spans="1:4" x14ac:dyDescent="0.2">
      <c r="A2" s="13">
        <v>1</v>
      </c>
      <c r="B2" s="18">
        <v>0</v>
      </c>
      <c r="C2" s="15" t="s">
        <v>281</v>
      </c>
      <c r="D2" s="18">
        <v>0</v>
      </c>
    </row>
    <row r="3" spans="1:4" x14ac:dyDescent="0.2">
      <c r="A3" s="13">
        <v>2</v>
      </c>
      <c r="B3" s="18">
        <v>1</v>
      </c>
      <c r="C3" s="15" t="s">
        <v>309</v>
      </c>
      <c r="D3" s="18">
        <v>500</v>
      </c>
    </row>
    <row r="4" spans="1:4" x14ac:dyDescent="0.2">
      <c r="A4" s="13">
        <v>3</v>
      </c>
      <c r="B4" s="18">
        <v>2</v>
      </c>
      <c r="C4" s="15" t="s">
        <v>310</v>
      </c>
      <c r="D4" s="18">
        <v>600</v>
      </c>
    </row>
    <row r="5" spans="1:4" x14ac:dyDescent="0.2">
      <c r="A5" s="13">
        <v>4</v>
      </c>
      <c r="B5" s="18">
        <v>3</v>
      </c>
      <c r="C5" s="15" t="s">
        <v>311</v>
      </c>
      <c r="D5" s="18">
        <v>750</v>
      </c>
    </row>
    <row r="6" spans="1:4" x14ac:dyDescent="0.2">
      <c r="A6" s="13">
        <v>5</v>
      </c>
      <c r="B6" s="18">
        <v>4</v>
      </c>
      <c r="C6" s="15" t="s">
        <v>103</v>
      </c>
      <c r="D6" s="18">
        <v>1300</v>
      </c>
    </row>
    <row r="11" spans="1:4" x14ac:dyDescent="0.2">
      <c r="B11" s="14" t="s">
        <v>282</v>
      </c>
    </row>
    <row r="12" spans="1:4" x14ac:dyDescent="0.2">
      <c r="B12" s="14"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77</vt:i4>
      </vt:variant>
    </vt:vector>
  </HeadingPairs>
  <TitlesOfParts>
    <vt:vector size="123" baseType="lpstr">
      <vt:lpstr>Schedules - Assembly</vt:lpstr>
      <vt:lpstr>Schedules - Office</vt:lpstr>
      <vt:lpstr>Schedules - Retail</vt:lpstr>
      <vt:lpstr>Schedules - Dwelling Unit</vt:lpstr>
      <vt:lpstr>SCA Instructions</vt:lpstr>
      <vt:lpstr>Lists</vt:lpstr>
      <vt:lpstr>GSG LPD</vt:lpstr>
      <vt:lpstr>Lighting Lookup</vt:lpstr>
      <vt:lpstr>Lighting Zones</vt:lpstr>
      <vt:lpstr>Raw Data</vt:lpstr>
      <vt:lpstr>GSG Avg Rotations</vt:lpstr>
      <vt:lpstr>SCA Exec Summary</vt:lpstr>
      <vt:lpstr>SCA ECM Summary</vt:lpstr>
      <vt:lpstr>SCA Usage Summary</vt:lpstr>
      <vt:lpstr>SCA Window Summary</vt:lpstr>
      <vt:lpstr>SCA Wall Summary</vt:lpstr>
      <vt:lpstr>SCA Wall Summary (2)</vt:lpstr>
      <vt:lpstr>SCA Interior Lighting Summary</vt:lpstr>
      <vt:lpstr>SCA Ext LPD Process Equ</vt:lpstr>
      <vt:lpstr>SCA Service HW</vt:lpstr>
      <vt:lpstr>SCA HVAC Air Class</vt:lpstr>
      <vt:lpstr>SCA HW Summary</vt:lpstr>
      <vt:lpstr>SCA CHW Summary</vt:lpstr>
      <vt:lpstr>General Checklist</vt:lpstr>
      <vt:lpstr>Output Checklist</vt:lpstr>
      <vt:lpstr>GSG_List</vt:lpstr>
      <vt:lpstr>Instructions</vt:lpstr>
      <vt:lpstr>1,2,3 Information</vt:lpstr>
      <vt:lpstr>4. Purchased Energy Rates</vt:lpstr>
      <vt:lpstr>4a. Avg. Rotations</vt:lpstr>
      <vt:lpstr>5. Usage Summary</vt:lpstr>
      <vt:lpstr>6a. Ext. Wall Areas</vt:lpstr>
      <vt:lpstr>6b. Fenestration</vt:lpstr>
      <vt:lpstr>6c. Wall Types</vt:lpstr>
      <vt:lpstr>6d. Interior LPD-Space Method</vt:lpstr>
      <vt:lpstr>6d. Interior LPD-Bldg  Method</vt:lpstr>
      <vt:lpstr>6e. Ext LPD 6f. Process Equip.</vt:lpstr>
      <vt:lpstr>Ext LPD Calculator</vt:lpstr>
      <vt:lpstr>6g. Service HW</vt:lpstr>
      <vt:lpstr>6i. HVAC Air-Side </vt:lpstr>
      <vt:lpstr>6i. HVAC Air-Side  (2)</vt:lpstr>
      <vt:lpstr>6j. HVAC Water-side CHW  </vt:lpstr>
      <vt:lpstr>6j. HVAC Water-side CW&amp;CT</vt:lpstr>
      <vt:lpstr>6l. HVAC Water-side HW&amp;Steam</vt:lpstr>
      <vt:lpstr>6m. HVAC- Geothermal</vt:lpstr>
      <vt:lpstr>6n. CHP</vt:lpstr>
      <vt:lpstr>BAMCategories</vt:lpstr>
      <vt:lpstr>BSA</vt:lpstr>
      <vt:lpstr>'SCA CHW Summary'!Doors</vt:lpstr>
      <vt:lpstr>'SCA HVAC Air Class'!Doors</vt:lpstr>
      <vt:lpstr>Doors</vt:lpstr>
      <vt:lpstr>'SCA CHW Summary'!Env_Type</vt:lpstr>
      <vt:lpstr>'SCA HVAC Air Class'!Env_Type</vt:lpstr>
      <vt:lpstr>Env_Type</vt:lpstr>
      <vt:lpstr>'SCA CHW Summary'!Fenestration</vt:lpstr>
      <vt:lpstr>'SCA HVAC Air Class'!Fenestration</vt:lpstr>
      <vt:lpstr>Fenestration</vt:lpstr>
      <vt:lpstr>'SCA CHW Summary'!Floor</vt:lpstr>
      <vt:lpstr>'SCA HVAC Air Class'!Floor</vt:lpstr>
      <vt:lpstr>Floor</vt:lpstr>
      <vt:lpstr>GSG_Doors</vt:lpstr>
      <vt:lpstr>GSG_Env_Type</vt:lpstr>
      <vt:lpstr>GSG_Fenestration</vt:lpstr>
      <vt:lpstr>GSG_Floor</vt:lpstr>
      <vt:lpstr>GSG_HVAC</vt:lpstr>
      <vt:lpstr>GSG_Ltg_Space</vt:lpstr>
      <vt:lpstr>GSG_Roof_Type</vt:lpstr>
      <vt:lpstr>GSG_Slab</vt:lpstr>
      <vt:lpstr>GSG_Type</vt:lpstr>
      <vt:lpstr>GSG_Wall_Type</vt:lpstr>
      <vt:lpstr>HVAC</vt:lpstr>
      <vt:lpstr>Ltg_Bldg</vt:lpstr>
      <vt:lpstr>'SCA CHW Summary'!Ltg_Space</vt:lpstr>
      <vt:lpstr>'SCA HVAC Air Class'!Ltg_Space</vt:lpstr>
      <vt:lpstr>Ltg_Space</vt:lpstr>
      <vt:lpstr>LZ</vt:lpstr>
      <vt:lpstr>LZDEC</vt:lpstr>
      <vt:lpstr>LZONE</vt:lpstr>
      <vt:lpstr>'1,2,3 Information'!Print_Area</vt:lpstr>
      <vt:lpstr>'4. Purchased Energy Rates'!Print_Area</vt:lpstr>
      <vt:lpstr>'4a. Avg. Rotations'!Print_Area</vt:lpstr>
      <vt:lpstr>'5. Usage Summary'!Print_Area</vt:lpstr>
      <vt:lpstr>'6a. Ext. Wall Areas'!Print_Area</vt:lpstr>
      <vt:lpstr>'6b. Fenestration'!Print_Area</vt:lpstr>
      <vt:lpstr>'6c. Wall Types'!Print_Area</vt:lpstr>
      <vt:lpstr>'6d. Interior LPD-Bldg  Method'!Print_Area</vt:lpstr>
      <vt:lpstr>'6d. Interior LPD-Space Method'!Print_Area</vt:lpstr>
      <vt:lpstr>'6e. Ext LPD 6f. Process Equip.'!Print_Area</vt:lpstr>
      <vt:lpstr>'6g. Service HW'!Print_Area</vt:lpstr>
      <vt:lpstr>'6i. HVAC Air-Side '!Print_Area</vt:lpstr>
      <vt:lpstr>'6i. HVAC Air-Side  (2)'!Print_Area</vt:lpstr>
      <vt:lpstr>'6j. HVAC Water-side CHW  '!Print_Area</vt:lpstr>
      <vt:lpstr>'6j. HVAC Water-side CW&amp;CT'!Print_Area</vt:lpstr>
      <vt:lpstr>'6l. HVAC Water-side HW&amp;Steam'!Print_Area</vt:lpstr>
      <vt:lpstr>'6m. HVAC- Geothermal'!Print_Area</vt:lpstr>
      <vt:lpstr>'6n. CHP'!Print_Area</vt:lpstr>
      <vt:lpstr>'Ext LPD Calculator'!Print_Area</vt:lpstr>
      <vt:lpstr>'GSG Avg Rotations'!Print_Area</vt:lpstr>
      <vt:lpstr>Instructions!Print_Area</vt:lpstr>
      <vt:lpstr>'Output Checklist'!Print_Area</vt:lpstr>
      <vt:lpstr>'SCA Ext LPD Process Equ'!Print_Area</vt:lpstr>
      <vt:lpstr>'SCA Service HW'!Print_Area</vt:lpstr>
      <vt:lpstr>'6b. Fenestration'!Res</vt:lpstr>
      <vt:lpstr>'6c. Wall Types'!Res</vt:lpstr>
      <vt:lpstr>'SCA Wall Summary'!Res</vt:lpstr>
      <vt:lpstr>'SCA Wall Summary (2)'!Res</vt:lpstr>
      <vt:lpstr>'SCA Window Summary'!Res</vt:lpstr>
      <vt:lpstr>'SCA CHW Summary'!Roof_Type</vt:lpstr>
      <vt:lpstr>'SCA HVAC Air Class'!Roof_Type</vt:lpstr>
      <vt:lpstr>Roof_Type</vt:lpstr>
      <vt:lpstr>'SCA CHW Summary'!Slab</vt:lpstr>
      <vt:lpstr>'SCA HVAC Air Class'!Slab</vt:lpstr>
      <vt:lpstr>Slab</vt:lpstr>
      <vt:lpstr>SURFACE2</vt:lpstr>
      <vt:lpstr>SxSCategories</vt:lpstr>
      <vt:lpstr>Type</vt:lpstr>
      <vt:lpstr>'SCA CHW Summary'!Wall_Type</vt:lpstr>
      <vt:lpstr>'SCA HVAC Air Class'!Wall_Type</vt:lpstr>
      <vt:lpstr>Wall_Type</vt:lpstr>
      <vt:lpstr>'SCA CHW Summary'!Yes_No</vt:lpstr>
      <vt:lpstr>'SCA HVAC Air Class'!Yes_No</vt:lpstr>
      <vt:lpstr>Yes_No</vt:lpstr>
      <vt:lpstr>YESNO</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Buildings</dc:creator>
  <cp:lastModifiedBy>Filip Stoian</cp:lastModifiedBy>
  <cp:lastPrinted>2020-08-18T08:45:14Z</cp:lastPrinted>
  <dcterms:created xsi:type="dcterms:W3CDTF">2014-11-12T15:40:18Z</dcterms:created>
  <dcterms:modified xsi:type="dcterms:W3CDTF">2022-12-22T17:50:41Z</dcterms:modified>
</cp:coreProperties>
</file>