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ae\divison\tss\Green Design\Research and Development - Studies\Vidaris 2016 Energy Modeling\Template Energy Model updates\December 2019\"/>
    </mc:Choice>
  </mc:AlternateContent>
  <bookViews>
    <workbookView xWindow="0" yWindow="0" windowWidth="18870" windowHeight="9885" tabRatio="824" firstSheet="4" activeTab="4"/>
  </bookViews>
  <sheets>
    <sheet name="Schedules - Assembly" sheetId="32" state="hidden" r:id="rId1"/>
    <sheet name="Schedules - Office" sheetId="33" state="hidden" r:id="rId2"/>
    <sheet name="Schedules - Retail" sheetId="34" state="hidden" r:id="rId3"/>
    <sheet name="Schedules - Dwelling Unit" sheetId="36" state="hidden" r:id="rId4"/>
    <sheet name="SCA Instructions" sheetId="39" r:id="rId5"/>
    <sheet name="Lists" sheetId="14" state="hidden" r:id="rId6"/>
    <sheet name="GSG LPD" sheetId="42" state="hidden" r:id="rId7"/>
    <sheet name="Lighting Lookup" sheetId="17" state="hidden" r:id="rId8"/>
    <sheet name="Lighting Zones" sheetId="21" state="hidden" r:id="rId9"/>
    <sheet name="Raw Data" sheetId="22" state="hidden" r:id="rId10"/>
    <sheet name="GSG Avg Rotations" sheetId="43" r:id="rId11"/>
    <sheet name="SCA Exec Summary" sheetId="49" r:id="rId12"/>
    <sheet name="SCA ECM Summary" sheetId="55" r:id="rId13"/>
    <sheet name="SCA Usage Summary" sheetId="44" r:id="rId14"/>
    <sheet name="SCA Window Summary" sheetId="45" r:id="rId15"/>
    <sheet name="SCA Wall Summary" sheetId="46" r:id="rId16"/>
    <sheet name="SCA Interior Lighting Summary" sheetId="47" r:id="rId17"/>
    <sheet name="SCA Ext LPD Process Equ" sheetId="56" r:id="rId18"/>
    <sheet name="SCA HVAC Air Class" sheetId="51" r:id="rId19"/>
    <sheet name="SCA HW Summary" sheetId="48" r:id="rId20"/>
    <sheet name="SCA CHW Summary" sheetId="52" r:id="rId21"/>
    <sheet name="General Checklist" sheetId="53" r:id="rId22"/>
    <sheet name="Output Checklist" sheetId="54" r:id="rId23"/>
    <sheet name="GSG_List" sheetId="41" state="hidden" r:id="rId24"/>
    <sheet name="DOB Instructions" sheetId="31" r:id="rId25"/>
    <sheet name="1,2,3 Information" sheetId="38" r:id="rId26"/>
    <sheet name="4. Purchased Energy Rates" sheetId="10" r:id="rId27"/>
    <sheet name="4a. Avg. Rotations" sheetId="37" state="hidden" r:id="rId28"/>
    <sheet name="5. Usage Summary" sheetId="11" r:id="rId29"/>
    <sheet name="6a. Ext. Wall Areas" sheetId="12" r:id="rId30"/>
    <sheet name="6b. Fenestration" sheetId="13" r:id="rId31"/>
    <sheet name="6c. Wall Types" sheetId="15" r:id="rId32"/>
    <sheet name="6d. Interior LPD-Space Method" sheetId="16" r:id="rId33"/>
    <sheet name="6d. Interior LPD-Bldg  Method" sheetId="18" r:id="rId34"/>
    <sheet name="6e. Ext LPD 6f. Process Equip." sheetId="23" r:id="rId35"/>
    <sheet name="Ext LPD Calculator" sheetId="19" r:id="rId36"/>
    <sheet name="6g. Service HW" sheetId="24" r:id="rId37"/>
    <sheet name="6i. HVAC Air-Side " sheetId="25" r:id="rId38"/>
    <sheet name="6i. HVAC Air-Side  (2)" sheetId="50" r:id="rId39"/>
    <sheet name="6j. HVAC Water-side CHW  " sheetId="26" r:id="rId40"/>
    <sheet name="6j. HVAC Water-side CW&amp;CT" sheetId="27" r:id="rId41"/>
    <sheet name="6l. HVAC Water-side HW&amp;Steam" sheetId="28" r:id="rId42"/>
    <sheet name="6m. HVAC- Geothermal" sheetId="29" r:id="rId43"/>
    <sheet name="6n. CHP" sheetId="30" r:id="rId44"/>
  </sheets>
  <externalReferences>
    <externalReference r:id="rId45"/>
    <externalReference r:id="rId46"/>
    <externalReference r:id="rId47"/>
    <externalReference r:id="rId48"/>
    <externalReference r:id="rId49"/>
    <externalReference r:id="rId50"/>
    <externalReference r:id="rId51"/>
    <externalReference r:id="rId52"/>
  </externalReferences>
  <definedNames>
    <definedName name="AshraeCZ">'[1]Envelope Lookup'!$A$2:$A$19</definedName>
    <definedName name="BAMCategories">'Lighting Lookup'!$A$2:$A$33</definedName>
    <definedName name="BaselineHVACModeled" localSheetId="6">'[2]General HVAC'!$C$30:$C$32</definedName>
    <definedName name="BaselineHVACModeled" localSheetId="7">'[3]General HVAC'!$C$30:$C$32</definedName>
    <definedName name="BaselineHVACModeled">'[4]6 - General HVAC'!$C$28:$C$31</definedName>
    <definedName name="BSA" localSheetId="9">'[5]Lighting Zones'!$D$2:$D$6</definedName>
    <definedName name="BSA">'Lighting Zones'!$D$2:$D$6</definedName>
    <definedName name="Doors" localSheetId="20">GSG_List!$A$38:$A$39</definedName>
    <definedName name="Doors" localSheetId="18">GSG_List!$A$38:$A$39</definedName>
    <definedName name="Doors">Lists!$A$43:$A$44</definedName>
    <definedName name="Env_Type" localSheetId="20">GSG_List!$A$1:$A$3</definedName>
    <definedName name="Env_Type" localSheetId="18">GSG_List!$A$1:$A$3</definedName>
    <definedName name="Env_Type">Lists!$A$1:$A$3</definedName>
    <definedName name="Fanslookup" localSheetId="7">'[3]HVAC Lookup'!$A$10:$K$29</definedName>
    <definedName name="Fenestration" localSheetId="20">GSG_List!$A$5:$A$8</definedName>
    <definedName name="Fenestration" localSheetId="18">GSG_List!$A$5:$A$8</definedName>
    <definedName name="Fenestration">Lists!$A$5:$A$8</definedName>
    <definedName name="Floor" localSheetId="20">GSG_List!$A$31:$A$33</definedName>
    <definedName name="Floor" localSheetId="18">GSG_List!$A$31:$A$33</definedName>
    <definedName name="Floor">Lists!$A$36:$A$38</definedName>
    <definedName name="Footcandles">'[6]Drop Down'!$Y$2:$Y$16</definedName>
    <definedName name="FramingType" localSheetId="7">'[3]Envelope Lookup'!$X$1:$AA$1</definedName>
    <definedName name="FramingType">'[7]Envelope Lookup'!$X$1:$AA$1</definedName>
    <definedName name="GSG_BAMCategories" localSheetId="38">'GSG LPD'!#REF!</definedName>
    <definedName name="GSG_BAMCategories">'GSG LPD'!#REF!</definedName>
    <definedName name="GSG_Doors">GSG_List!$A$38:$A$39</definedName>
    <definedName name="GSG_Env_Type">GSG_List!$A$1:$A$3</definedName>
    <definedName name="GSG_Fenestration">GSG_List!$A$5:$A$8</definedName>
    <definedName name="GSG_Floor">GSG_List!$A$31:$A$33</definedName>
    <definedName name="GSG_HVAC">GSG_List!$A$43:$A$66</definedName>
    <definedName name="GSG_Ltg_Space">'GSG LPD'!$A$2:$A$107</definedName>
    <definedName name="GSG_Roof_Type">GSG_List!$A$25:$A$25</definedName>
    <definedName name="GSG_Slab">GSG_List!$A$35:$A$36</definedName>
    <definedName name="GSG_Type">GSG_List!$A$1:$A$2</definedName>
    <definedName name="GSG_Wall_Type">GSG_List!$A$27:$A$27</definedName>
    <definedName name="HeatingOnly">'[3]HVAC Lookup'!$F$33:$F$35</definedName>
    <definedName name="HVAC">Lists!$A$48:$A$71</definedName>
    <definedName name="LightingSpaceType">'[6]Drop Down'!$W$2:$W$16</definedName>
    <definedName name="LPD">'[6]Drop Down'!$X$2:$X$16</definedName>
    <definedName name="Ltg_Bldg">'Lighting Lookup'!$A$2:$A$33</definedName>
    <definedName name="Ltg_Space" localSheetId="20">'GSG LPD'!$A$2:$A$107</definedName>
    <definedName name="Ltg_Space" localSheetId="18">'GSG LPD'!$A$2:$A$107</definedName>
    <definedName name="Ltg_Space">'Lighting Lookup'!$E$2:$E$107</definedName>
    <definedName name="LZ" localSheetId="9">'[5]Lighting Zones'!$B$2:$B$6</definedName>
    <definedName name="LZ">'Lighting Zones'!$B$2:$B$6</definedName>
    <definedName name="LZDEC" localSheetId="9">'[5]Lighting Zones'!$C$2:$C$6</definedName>
    <definedName name="LZDEC">'Lighting Zones'!$C$2:$C$6</definedName>
    <definedName name="LZONE">'Lighting Zones'!$A$2:$A$6</definedName>
    <definedName name="Motor_Horsepower" localSheetId="7">'[3]HVAC Lookup'!$U$10:$W$29</definedName>
    <definedName name="Motor_Horsepower">'[7]HVAC Lookup'!$U$10:$W$29</definedName>
    <definedName name="NewExisting" localSheetId="7">'[3]Envelope Lookup'!$BP$2:$BP$3</definedName>
    <definedName name="NewExisting">'[7]Envelope Lookup'!$BP$2:$BP$3</definedName>
    <definedName name="NoA">'[3]HVAC Lookup'!$E$33:$E$43</definedName>
    <definedName name="NoEconomizer">'[3]HVAC Lookup'!$H$33:$H$44</definedName>
    <definedName name="_xlnm.Print_Area" localSheetId="25">'1,2,3 Information'!$A$1:$I$49</definedName>
    <definedName name="_xlnm.Print_Area" localSheetId="26">'4. Purchased Energy Rates'!$A$1:$I$21</definedName>
    <definedName name="_xlnm.Print_Area" localSheetId="27">'4a. Avg. Rotations'!$A$1:$M$27</definedName>
    <definedName name="_xlnm.Print_Area" localSheetId="28">'5. Usage Summary'!$A$1:$K$32</definedName>
    <definedName name="_xlnm.Print_Area" localSheetId="29">'6a. Ext. Wall Areas'!$A$1:$L$15</definedName>
    <definedName name="_xlnm.Print_Area" localSheetId="30">'6b. Fenestration'!$A$1:$N$26</definedName>
    <definedName name="_xlnm.Print_Area" localSheetId="31">'6c. Wall Types'!$A$1:$K$22</definedName>
    <definedName name="_xlnm.Print_Area" localSheetId="33">'6d. Interior LPD-Bldg  Method'!$A$1:$J$29</definedName>
    <definedName name="_xlnm.Print_Area" localSheetId="32">'6d. Interior LPD-Space Method'!$A$1:$J$29</definedName>
    <definedName name="_xlnm.Print_Area" localSheetId="34">'6e. Ext LPD 6f. Process Equip.'!$A$1:$H$27</definedName>
    <definedName name="_xlnm.Print_Area" localSheetId="36">'6g. Service HW'!$A$1:$H$13</definedName>
    <definedName name="_xlnm.Print_Area" localSheetId="37">'6i. HVAC Air-Side '!$A$1:$J$34</definedName>
    <definedName name="_xlnm.Print_Area" localSheetId="38">'6i. HVAC Air-Side  (2)'!$A$1:$J$34</definedName>
    <definedName name="_xlnm.Print_Area" localSheetId="39">'6j. HVAC Water-side CHW  '!$A$1:$H$26</definedName>
    <definedName name="_xlnm.Print_Area" localSheetId="40">'6j. HVAC Water-side CW&amp;CT'!$A$1:$H$18</definedName>
    <definedName name="_xlnm.Print_Area" localSheetId="41">'6l. HVAC Water-side HW&amp;Steam'!$A$1:$H$23</definedName>
    <definedName name="_xlnm.Print_Area" localSheetId="42">'6m. HVAC- Geothermal'!$A$1:$H$22</definedName>
    <definedName name="_xlnm.Print_Area" localSheetId="43">'6n. CHP'!$A$1:$H$18</definedName>
    <definedName name="_xlnm.Print_Area" localSheetId="24">'DOB Instructions'!$A$1:$A$9</definedName>
    <definedName name="_xlnm.Print_Area" localSheetId="35">'Ext LPD Calculator'!$A$1:$L$30</definedName>
    <definedName name="_xlnm.Print_Area" localSheetId="10">'GSG Avg Rotations'!$A$1:$L$27</definedName>
    <definedName name="_xlnm.Print_Area" localSheetId="17">'SCA Ext LPD Process Equ'!$A$1:$H$27</definedName>
    <definedName name="ProjectSpaceTypes">[3]Lighting!$B$27:$B$38</definedName>
    <definedName name="ProposedHVAC">'[3]General HVAC'!$B$20:$B$25</definedName>
    <definedName name="Res" localSheetId="30">Lists!$A$1:$A$2</definedName>
    <definedName name="Res" localSheetId="31">Lists!$A$1:$A$2</definedName>
    <definedName name="Res" localSheetId="15">GSG_List!$A$1:$A$2</definedName>
    <definedName name="Res" localSheetId="14">GSG_List!$A$1:$A$2</definedName>
    <definedName name="Roof_Type" localSheetId="20">GSG_List!$A$25:$A$25</definedName>
    <definedName name="Roof_Type" localSheetId="18">GSG_List!$A$25:$A$25</definedName>
    <definedName name="Roof_Type">Lists!$A$25:$A$27</definedName>
    <definedName name="SATreset">'[3]HVAC Lookup'!$I$33:$I$44</definedName>
    <definedName name="SI_IP_Units">'[8]General Information'!$I$12</definedName>
    <definedName name="SkylightFrame" localSheetId="7">'[3]Envelope Lookup'!$AC$1:$AH$1</definedName>
    <definedName name="SkylightFrame">'[7]Envelope Lookup'!$AC$1:$AH$1</definedName>
    <definedName name="Slab" localSheetId="20">GSG_List!$A$35:$A$36</definedName>
    <definedName name="Slab" localSheetId="18">GSG_List!$A$35:$A$36</definedName>
    <definedName name="Slab">Lists!$A$40:$A$41</definedName>
    <definedName name="SpaceConditioningCategory" localSheetId="7">'[3]Envelope Lookup'!$BQ$2:$BQ$4</definedName>
    <definedName name="SpaceConditioningCategory">'[7]Envelope Lookup'!$BQ$2:$BQ$4</definedName>
    <definedName name="SpaceType">'[6]Drop Down'!$U$2:$U$15</definedName>
    <definedName name="SURFACE2">'Raw Data'!$Q$3:$Q$24</definedName>
    <definedName name="SxSCategories">'Lighting Lookup'!$E$2:$E$111</definedName>
    <definedName name="TradableExterior" localSheetId="37">'Lighting Lookup'!#REF!</definedName>
    <definedName name="TradableExterior" localSheetId="38">'Lighting Lookup'!#REF!</definedName>
    <definedName name="TradableExterior" localSheetId="39">'Lighting Lookup'!#REF!</definedName>
    <definedName name="TradableExterior" localSheetId="40">'Lighting Lookup'!#REF!</definedName>
    <definedName name="TradableExterior" localSheetId="41">'Lighting Lookup'!#REF!</definedName>
    <definedName name="TradableExterior" localSheetId="42">'Lighting Lookup'!#REF!</definedName>
    <definedName name="TradableExterior" localSheetId="43">'Lighting Lookup'!#REF!</definedName>
    <definedName name="TradableExterior" localSheetId="3">'Lighting Lookup'!#REF!</definedName>
    <definedName name="TradableExterior" localSheetId="1">'Lighting Lookup'!#REF!</definedName>
    <definedName name="TradableExterior" localSheetId="2">'Lighting Lookup'!#REF!</definedName>
    <definedName name="Type">Lists!$A$1:$A$2</definedName>
    <definedName name="UfactorMethod">'[3]Shading &amp; Fenestration'!$H$37:$H$42</definedName>
    <definedName name="UnitaryCooling">'[3]HVAC Lookup'!$C$33:$C$41</definedName>
    <definedName name="UnitaryHeating">'[3]HVAC Lookup'!$D$33:$D$38</definedName>
    <definedName name="UnitaryHeatingSize">'[3]HVAC Lookup'!$G$33:$G$38</definedName>
    <definedName name="Units" localSheetId="7">'[3]HVAC Lookup'!$L$9:$L$12</definedName>
    <definedName name="Units">'[7]HVAC Lookup'!$L$9:$L$12</definedName>
    <definedName name="Wall_Type" localSheetId="20">GSG_List!$A$27:$A$27</definedName>
    <definedName name="Wall_Type" localSheetId="18">GSG_List!$A$27:$A$27</definedName>
    <definedName name="Wall_Type">Lists!$A$29:$A$32</definedName>
    <definedName name="Yes_No" localSheetId="20">GSG_List!$N$1:$N$2</definedName>
    <definedName name="Yes_No" localSheetId="18">GSG_List!$N$1:$N$2</definedName>
    <definedName name="Yes_No">Lists!$N$1:$N$2</definedName>
    <definedName name="YESNO" localSheetId="9">'[5]Lighting Zones'!$B$11:$B$12</definedName>
    <definedName name="YESNO">'Lighting Zones'!$B$11:$B$12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56" l="1"/>
  <c r="E37" i="56"/>
  <c r="E36" i="56"/>
  <c r="E35" i="56"/>
  <c r="C137" i="41"/>
  <c r="B130" i="41"/>
  <c r="A133" i="41" s="1"/>
  <c r="B137" i="41"/>
  <c r="E21" i="56"/>
  <c r="F21" i="56" s="1"/>
  <c r="D16" i="56"/>
  <c r="E16" i="56" s="1"/>
  <c r="F16" i="56" s="1"/>
  <c r="D17" i="56"/>
  <c r="E17" i="56" s="1"/>
  <c r="F17" i="56" s="1"/>
  <c r="D18" i="56"/>
  <c r="E18" i="56" s="1"/>
  <c r="F18" i="56" s="1"/>
  <c r="D19" i="56"/>
  <c r="E19" i="56" s="1"/>
  <c r="F19" i="56" s="1"/>
  <c r="D20" i="56"/>
  <c r="E20" i="56" s="1"/>
  <c r="F20" i="56" s="1"/>
  <c r="D21" i="56"/>
  <c r="D22" i="56"/>
  <c r="E22" i="56" s="1"/>
  <c r="F22" i="56" s="1"/>
  <c r="D23" i="56"/>
  <c r="E23" i="56" s="1"/>
  <c r="F23" i="56" s="1"/>
  <c r="D24" i="56"/>
  <c r="E24" i="56" s="1"/>
  <c r="F24" i="56" s="1"/>
  <c r="D25" i="56"/>
  <c r="E25" i="56" s="1"/>
  <c r="F25" i="56" s="1"/>
  <c r="D26" i="56"/>
  <c r="E26" i="56" s="1"/>
  <c r="F26" i="56" s="1"/>
  <c r="D15" i="56"/>
  <c r="E15" i="56" s="1"/>
  <c r="F15" i="56" s="1"/>
  <c r="C16" i="56"/>
  <c r="C17" i="56"/>
  <c r="C18" i="56"/>
  <c r="C19" i="56"/>
  <c r="C20" i="56"/>
  <c r="C21" i="56"/>
  <c r="C22" i="56"/>
  <c r="C23" i="56"/>
  <c r="C24" i="56"/>
  <c r="C25" i="56"/>
  <c r="C26" i="56"/>
  <c r="A16" i="56"/>
  <c r="A17" i="56"/>
  <c r="A18" i="56"/>
  <c r="A19" i="56"/>
  <c r="A20" i="56"/>
  <c r="A21" i="56"/>
  <c r="A22" i="56"/>
  <c r="A23" i="56"/>
  <c r="A24" i="56"/>
  <c r="A25" i="56"/>
  <c r="A26" i="56"/>
  <c r="C15" i="56"/>
  <c r="A15" i="56"/>
  <c r="C6" i="56"/>
  <c r="D6" i="56" s="1"/>
  <c r="C7" i="56"/>
  <c r="D7" i="56" s="1"/>
  <c r="C8" i="56"/>
  <c r="D8" i="56" s="1"/>
  <c r="E6" i="56"/>
  <c r="E7" i="56"/>
  <c r="E8" i="56"/>
  <c r="E5" i="56"/>
  <c r="C5" i="56"/>
  <c r="D5" i="56" s="1"/>
  <c r="A140" i="41" l="1"/>
  <c r="A138" i="41"/>
  <c r="A139" i="41"/>
  <c r="A132" i="41"/>
  <c r="A131" i="41"/>
  <c r="A134" i="41"/>
  <c r="A135" i="41"/>
  <c r="C27" i="56" l="1"/>
  <c r="D14" i="56"/>
  <c r="E14" i="56" s="1"/>
  <c r="E27" i="56" l="1"/>
  <c r="D27" i="56"/>
  <c r="F27" i="56"/>
  <c r="B6" i="55"/>
  <c r="B18" i="55"/>
  <c r="H18" i="55"/>
  <c r="I18" i="55"/>
  <c r="B19" i="55"/>
  <c r="B20" i="55" s="1"/>
  <c r="H19" i="55"/>
  <c r="I19" i="55"/>
  <c r="H20" i="55"/>
  <c r="I20" i="55"/>
  <c r="B12" i="55"/>
  <c r="H12" i="55"/>
  <c r="I12" i="55"/>
  <c r="B13" i="55"/>
  <c r="B14" i="55" s="1"/>
  <c r="B15" i="55" s="1"/>
  <c r="B16" i="55" s="1"/>
  <c r="B17" i="55" s="1"/>
  <c r="H13" i="55"/>
  <c r="I13" i="55"/>
  <c r="H14" i="55"/>
  <c r="I14" i="55"/>
  <c r="H15" i="55"/>
  <c r="I15" i="55"/>
  <c r="H16" i="55"/>
  <c r="I16" i="55"/>
  <c r="H17" i="55"/>
  <c r="I17" i="55"/>
  <c r="I11" i="55"/>
  <c r="H11" i="55"/>
  <c r="B11" i="55"/>
  <c r="G10" i="55"/>
  <c r="H36" i="49" l="1"/>
  <c r="H35" i="49"/>
  <c r="E10" i="55" s="1"/>
  <c r="H10" i="55" s="1"/>
  <c r="H34" i="49"/>
  <c r="H33" i="49"/>
  <c r="D41" i="49"/>
  <c r="D39" i="49"/>
  <c r="D35" i="49"/>
  <c r="D40" i="49"/>
  <c r="D21" i="49"/>
  <c r="B24" i="53" l="1"/>
  <c r="D24" i="49" l="1"/>
  <c r="J19" i="55" s="1"/>
  <c r="J20" i="55" l="1"/>
  <c r="J12" i="55"/>
  <c r="J18" i="55"/>
  <c r="J11" i="55"/>
  <c r="J17" i="55"/>
  <c r="J14" i="55"/>
  <c r="J16" i="55"/>
  <c r="J15" i="55"/>
  <c r="J13" i="55"/>
  <c r="H43" i="49"/>
  <c r="B20" i="53"/>
  <c r="E17" i="53"/>
  <c r="B17" i="53" s="1"/>
  <c r="B16" i="53"/>
  <c r="K5" i="47"/>
  <c r="H15" i="44" l="1"/>
  <c r="G15" i="44"/>
  <c r="F15" i="44"/>
  <c r="E15" i="44"/>
  <c r="D15" i="44"/>
  <c r="C15" i="44"/>
  <c r="H14" i="44"/>
  <c r="G14" i="44"/>
  <c r="E15" i="53" s="1"/>
  <c r="B15" i="53" s="1"/>
  <c r="F14" i="44"/>
  <c r="E14" i="44"/>
  <c r="D14" i="44"/>
  <c r="C14" i="44"/>
  <c r="H13" i="44"/>
  <c r="G13" i="44"/>
  <c r="F13" i="44"/>
  <c r="E13" i="44"/>
  <c r="D13" i="44"/>
  <c r="C13" i="44"/>
  <c r="H12" i="44"/>
  <c r="G12" i="44"/>
  <c r="F12" i="44"/>
  <c r="E12" i="44"/>
  <c r="J12" i="44" s="1"/>
  <c r="D12" i="44"/>
  <c r="C12" i="44"/>
  <c r="H11" i="44"/>
  <c r="G11" i="44"/>
  <c r="F11" i="44"/>
  <c r="J11" i="44" s="1"/>
  <c r="E11" i="44"/>
  <c r="D11" i="44"/>
  <c r="C11" i="44"/>
  <c r="H10" i="44"/>
  <c r="G10" i="44"/>
  <c r="F10" i="44"/>
  <c r="E10" i="44"/>
  <c r="D10" i="44"/>
  <c r="C10" i="44"/>
  <c r="H9" i="44"/>
  <c r="G9" i="44"/>
  <c r="F9" i="44"/>
  <c r="E9" i="44"/>
  <c r="J9" i="44" s="1"/>
  <c r="D9" i="44"/>
  <c r="C9" i="44"/>
  <c r="H8" i="44"/>
  <c r="G8" i="44"/>
  <c r="F8" i="44"/>
  <c r="E8" i="44"/>
  <c r="D8" i="44"/>
  <c r="C8" i="44"/>
  <c r="H7" i="44"/>
  <c r="G7" i="44"/>
  <c r="F7" i="44"/>
  <c r="F16" i="44" s="1"/>
  <c r="E7" i="44"/>
  <c r="D7" i="44"/>
  <c r="C7" i="44"/>
  <c r="H6" i="44"/>
  <c r="G6" i="44"/>
  <c r="E18" i="53" s="1"/>
  <c r="F6" i="44"/>
  <c r="E6" i="44"/>
  <c r="D6" i="44"/>
  <c r="C6" i="44"/>
  <c r="J15" i="44"/>
  <c r="J14" i="44"/>
  <c r="J13" i="44"/>
  <c r="J10" i="44"/>
  <c r="J8" i="44"/>
  <c r="J7" i="44"/>
  <c r="J6" i="44"/>
  <c r="B18" i="53" l="1"/>
  <c r="C18" i="53"/>
  <c r="C16" i="44"/>
  <c r="D48" i="49" s="1"/>
  <c r="D16" i="44"/>
  <c r="H16" i="44"/>
  <c r="G16" i="44"/>
  <c r="J16" i="44"/>
  <c r="E16" i="44"/>
  <c r="E21" i="53" l="1"/>
  <c r="H53" i="49"/>
  <c r="D49" i="49"/>
  <c r="E19" i="53"/>
  <c r="I15" i="44"/>
  <c r="I16" i="44"/>
  <c r="E23" i="53"/>
  <c r="C23" i="53" s="1"/>
  <c r="I14" i="44"/>
  <c r="E22" i="53"/>
  <c r="I6" i="44"/>
  <c r="I9" i="44"/>
  <c r="I11" i="44"/>
  <c r="I7" i="44"/>
  <c r="I10" i="44"/>
  <c r="I13" i="44"/>
  <c r="I8" i="44"/>
  <c r="I12" i="44"/>
  <c r="E15" i="28"/>
  <c r="C7" i="28"/>
  <c r="D7" i="28"/>
  <c r="F21" i="53" l="1"/>
  <c r="B21" i="53" s="1"/>
  <c r="C21" i="53"/>
  <c r="B22" i="53"/>
  <c r="C22" i="53"/>
  <c r="B19" i="53"/>
  <c r="C19" i="53"/>
  <c r="B23" i="53"/>
  <c r="E19" i="52"/>
  <c r="E17" i="52"/>
  <c r="F18" i="52"/>
  <c r="E18" i="52"/>
  <c r="F14" i="52"/>
  <c r="E15" i="52"/>
  <c r="E14" i="52"/>
  <c r="E13" i="52"/>
  <c r="E10" i="52"/>
  <c r="E9" i="52"/>
  <c r="F8" i="52"/>
  <c r="E8" i="52"/>
  <c r="F7" i="52"/>
  <c r="E7" i="52"/>
  <c r="F6" i="52"/>
  <c r="E6" i="52"/>
  <c r="E20" i="52"/>
  <c r="E16" i="52"/>
  <c r="E12" i="52"/>
  <c r="E11" i="52"/>
  <c r="E5" i="52"/>
  <c r="C93" i="41"/>
  <c r="C92" i="41"/>
  <c r="D95" i="41"/>
  <c r="D96" i="41" s="1"/>
  <c r="D97" i="41" s="1"/>
  <c r="D98" i="41" s="1"/>
  <c r="D99" i="41" s="1"/>
  <c r="D100" i="41" s="1"/>
  <c r="D101" i="41" s="1"/>
  <c r="D102" i="41" s="1"/>
  <c r="D103" i="41" s="1"/>
  <c r="D104" i="41" s="1"/>
  <c r="D105" i="41" s="1"/>
  <c r="D106" i="41" s="1"/>
  <c r="D107" i="41" s="1"/>
  <c r="D108" i="41" s="1"/>
  <c r="D109" i="41" s="1"/>
  <c r="D110" i="41" s="1"/>
  <c r="D111" i="41" s="1"/>
  <c r="A95" i="41"/>
  <c r="B95" i="41" s="1"/>
  <c r="C95" i="41" s="1"/>
  <c r="B94" i="41"/>
  <c r="C94" i="41" s="1"/>
  <c r="B87" i="41"/>
  <c r="C87" i="41" s="1"/>
  <c r="B86" i="41"/>
  <c r="C86" i="41" s="1"/>
  <c r="B85" i="41"/>
  <c r="C85" i="41" s="1"/>
  <c r="B84" i="41"/>
  <c r="C84" i="41" s="1"/>
  <c r="B83" i="41"/>
  <c r="C83" i="41" s="1"/>
  <c r="B82" i="41"/>
  <c r="C82" i="41" s="1"/>
  <c r="B81" i="41"/>
  <c r="C81" i="41" s="1"/>
  <c r="B80" i="41"/>
  <c r="C80" i="41" s="1"/>
  <c r="B79" i="41"/>
  <c r="C79" i="41" s="1"/>
  <c r="B78" i="41"/>
  <c r="C78" i="41" s="1"/>
  <c r="B77" i="41"/>
  <c r="C77" i="41" s="1"/>
  <c r="B76" i="41"/>
  <c r="C76" i="41" s="1"/>
  <c r="B75" i="41"/>
  <c r="C75" i="41" s="1"/>
  <c r="B74" i="41"/>
  <c r="C74" i="41" s="1"/>
  <c r="D73" i="41"/>
  <c r="D74" i="41" s="1"/>
  <c r="D75" i="41" s="1"/>
  <c r="D76" i="41" s="1"/>
  <c r="D77" i="41" s="1"/>
  <c r="D78" i="41" s="1"/>
  <c r="D79" i="41" s="1"/>
  <c r="D80" i="41" s="1"/>
  <c r="D81" i="41" s="1"/>
  <c r="D82" i="41" s="1"/>
  <c r="D83" i="41" s="1"/>
  <c r="D84" i="41" s="1"/>
  <c r="D85" i="41" s="1"/>
  <c r="D86" i="41" s="1"/>
  <c r="D87" i="41" s="1"/>
  <c r="B73" i="41"/>
  <c r="C73" i="41" s="1"/>
  <c r="B72" i="41"/>
  <c r="C72" i="41" s="1"/>
  <c r="B71" i="41"/>
  <c r="C71" i="41" s="1"/>
  <c r="A96" i="41" l="1"/>
  <c r="A97" i="41" l="1"/>
  <c r="B96" i="41"/>
  <c r="C96" i="41" s="1"/>
  <c r="C6" i="50"/>
  <c r="C17" i="50" s="1"/>
  <c r="D19" i="49"/>
  <c r="D20" i="49"/>
  <c r="D28" i="49"/>
  <c r="D27" i="49"/>
  <c r="D26" i="49"/>
  <c r="D46" i="49"/>
  <c r="H41" i="49" s="1"/>
  <c r="D45" i="49"/>
  <c r="H17" i="48"/>
  <c r="H13" i="48"/>
  <c r="H23" i="48"/>
  <c r="H22" i="48"/>
  <c r="H21" i="48"/>
  <c r="H20" i="48"/>
  <c r="G23" i="48"/>
  <c r="G22" i="48"/>
  <c r="G21" i="48"/>
  <c r="G20" i="48"/>
  <c r="G18" i="48"/>
  <c r="G17" i="48"/>
  <c r="G16" i="48"/>
  <c r="G14" i="48"/>
  <c r="G13" i="48"/>
  <c r="G12" i="48"/>
  <c r="G9" i="48"/>
  <c r="G8" i="48"/>
  <c r="H7" i="48"/>
  <c r="G7" i="48"/>
  <c r="H6" i="48"/>
  <c r="G6" i="48"/>
  <c r="G19" i="48"/>
  <c r="G15" i="48"/>
  <c r="G11" i="48"/>
  <c r="G10" i="48"/>
  <c r="G5" i="48"/>
  <c r="C16" i="48"/>
  <c r="C18" i="48"/>
  <c r="C14" i="48"/>
  <c r="D23" i="48"/>
  <c r="C23" i="48"/>
  <c r="D22" i="48"/>
  <c r="C22" i="48"/>
  <c r="D21" i="48"/>
  <c r="C21" i="48"/>
  <c r="D20" i="48"/>
  <c r="C20" i="48"/>
  <c r="D17" i="48"/>
  <c r="C17" i="48"/>
  <c r="D13" i="48"/>
  <c r="C13" i="48"/>
  <c r="C12" i="48"/>
  <c r="C19" i="48"/>
  <c r="C15" i="48"/>
  <c r="C11" i="48"/>
  <c r="C10" i="48"/>
  <c r="C9" i="48"/>
  <c r="C8" i="48"/>
  <c r="D7" i="48"/>
  <c r="C7" i="48"/>
  <c r="D6" i="48"/>
  <c r="C6" i="48"/>
  <c r="C5" i="48"/>
  <c r="J14" i="45"/>
  <c r="K14" i="45" s="1"/>
  <c r="J7" i="45"/>
  <c r="K7" i="45" s="1"/>
  <c r="J8" i="45"/>
  <c r="K8" i="45" s="1"/>
  <c r="J9" i="45"/>
  <c r="K9" i="45" s="1"/>
  <c r="J10" i="45"/>
  <c r="K10" i="45" s="1"/>
  <c r="J11" i="45"/>
  <c r="K11" i="45" s="1"/>
  <c r="J12" i="45"/>
  <c r="K12" i="45" s="1"/>
  <c r="J13" i="45"/>
  <c r="K13" i="45" s="1"/>
  <c r="J6" i="45"/>
  <c r="K6" i="45" s="1"/>
  <c r="I7" i="45"/>
  <c r="I8" i="45"/>
  <c r="I9" i="45"/>
  <c r="I10" i="45"/>
  <c r="I11" i="45"/>
  <c r="I12" i="45"/>
  <c r="I13" i="45"/>
  <c r="I14" i="45"/>
  <c r="I6" i="45"/>
  <c r="I6" i="46"/>
  <c r="I7" i="46"/>
  <c r="I5" i="46"/>
  <c r="J6" i="46"/>
  <c r="J7" i="46"/>
  <c r="J8" i="46"/>
  <c r="G17" i="46"/>
  <c r="G18" i="46"/>
  <c r="G19" i="46"/>
  <c r="G20" i="46"/>
  <c r="G22" i="46"/>
  <c r="G21" i="46"/>
  <c r="H7" i="46"/>
  <c r="H5" i="46"/>
  <c r="I8" i="46"/>
  <c r="J5" i="46"/>
  <c r="J22" i="46"/>
  <c r="I22" i="46"/>
  <c r="H22" i="46"/>
  <c r="J21" i="46"/>
  <c r="I21" i="46"/>
  <c r="H21" i="46"/>
  <c r="J20" i="46"/>
  <c r="I20" i="46"/>
  <c r="H20" i="46"/>
  <c r="J19" i="46"/>
  <c r="I19" i="46"/>
  <c r="H19" i="46"/>
  <c r="J18" i="46"/>
  <c r="I18" i="46"/>
  <c r="H18" i="46"/>
  <c r="J17" i="46"/>
  <c r="I17" i="46"/>
  <c r="H17" i="46"/>
  <c r="J16" i="46"/>
  <c r="I16" i="46"/>
  <c r="H16" i="46"/>
  <c r="J15" i="46"/>
  <c r="I15" i="46"/>
  <c r="H15" i="46"/>
  <c r="J14" i="46"/>
  <c r="I14" i="46"/>
  <c r="H14" i="46"/>
  <c r="J13" i="46"/>
  <c r="I13" i="46"/>
  <c r="H13" i="46"/>
  <c r="J12" i="46"/>
  <c r="I12" i="46"/>
  <c r="H12" i="46"/>
  <c r="J11" i="46"/>
  <c r="H11" i="46"/>
  <c r="J10" i="46"/>
  <c r="I10" i="46"/>
  <c r="H10" i="46"/>
  <c r="J9" i="46"/>
  <c r="I9" i="46"/>
  <c r="H9" i="46"/>
  <c r="I11" i="46"/>
  <c r="E8" i="46"/>
  <c r="E6" i="46"/>
  <c r="D10" i="46"/>
  <c r="D11" i="46"/>
  <c r="D12" i="46"/>
  <c r="D13" i="46"/>
  <c r="D14" i="46"/>
  <c r="D15" i="46"/>
  <c r="D16" i="46"/>
  <c r="D17" i="46"/>
  <c r="D18" i="46"/>
  <c r="D19" i="46"/>
  <c r="D20" i="46"/>
  <c r="D21" i="46"/>
  <c r="D22" i="46"/>
  <c r="D5" i="46"/>
  <c r="D7" i="46"/>
  <c r="D9" i="46"/>
  <c r="B22" i="46"/>
  <c r="B21" i="46"/>
  <c r="B20" i="46"/>
  <c r="B19" i="46"/>
  <c r="B18" i="46"/>
  <c r="B17" i="46"/>
  <c r="B10" i="46"/>
  <c r="G10" i="46" s="1"/>
  <c r="B11" i="46"/>
  <c r="B12" i="46"/>
  <c r="B13" i="46"/>
  <c r="B14" i="46"/>
  <c r="B15" i="46"/>
  <c r="G15" i="46" s="1"/>
  <c r="B16" i="46"/>
  <c r="G16" i="46" s="1"/>
  <c r="B9" i="46"/>
  <c r="G9" i="46" s="1"/>
  <c r="B7" i="46"/>
  <c r="B5" i="46"/>
  <c r="D14" i="45"/>
  <c r="D7" i="45"/>
  <c r="D8" i="45"/>
  <c r="D9" i="45"/>
  <c r="D10" i="45"/>
  <c r="D11" i="45"/>
  <c r="D12" i="45"/>
  <c r="D13" i="45"/>
  <c r="D6" i="45"/>
  <c r="M6" i="45"/>
  <c r="N6" i="45"/>
  <c r="O6" i="45"/>
  <c r="M7" i="45"/>
  <c r="N7" i="45"/>
  <c r="O7" i="45"/>
  <c r="M8" i="45"/>
  <c r="N8" i="45"/>
  <c r="O8" i="45"/>
  <c r="M9" i="45"/>
  <c r="N9" i="45"/>
  <c r="O9" i="45"/>
  <c r="M10" i="45"/>
  <c r="N10" i="45"/>
  <c r="O10" i="45"/>
  <c r="M11" i="45"/>
  <c r="N11" i="45"/>
  <c r="O11" i="45"/>
  <c r="M12" i="45"/>
  <c r="N12" i="45"/>
  <c r="O12" i="45"/>
  <c r="M13" i="45"/>
  <c r="N13" i="45"/>
  <c r="O13" i="45"/>
  <c r="M14" i="45"/>
  <c r="N14" i="45"/>
  <c r="O14" i="45"/>
  <c r="L7" i="45"/>
  <c r="L8" i="45"/>
  <c r="L9" i="45"/>
  <c r="L10" i="45"/>
  <c r="L11" i="45"/>
  <c r="L12" i="45"/>
  <c r="L13" i="45"/>
  <c r="L14" i="45"/>
  <c r="L6" i="45"/>
  <c r="I6" i="47"/>
  <c r="J6" i="47"/>
  <c r="K6" i="47"/>
  <c r="I7" i="47"/>
  <c r="J7" i="47"/>
  <c r="K7" i="47"/>
  <c r="I8" i="47"/>
  <c r="J8" i="47"/>
  <c r="K8" i="47"/>
  <c r="I9" i="47"/>
  <c r="J9" i="47"/>
  <c r="K9" i="47"/>
  <c r="I10" i="47"/>
  <c r="J10" i="47"/>
  <c r="K10" i="47"/>
  <c r="I11" i="47"/>
  <c r="J11" i="47"/>
  <c r="K11" i="47"/>
  <c r="I12" i="47"/>
  <c r="J12" i="47"/>
  <c r="K12" i="47"/>
  <c r="I13" i="47"/>
  <c r="J13" i="47"/>
  <c r="K13" i="47"/>
  <c r="I14" i="47"/>
  <c r="J14" i="47"/>
  <c r="K14" i="47"/>
  <c r="I15" i="47"/>
  <c r="J15" i="47"/>
  <c r="K15" i="47"/>
  <c r="I16" i="47"/>
  <c r="J16" i="47"/>
  <c r="K16" i="47"/>
  <c r="I17" i="47"/>
  <c r="J17" i="47"/>
  <c r="K17" i="47"/>
  <c r="I18" i="47"/>
  <c r="J18" i="47"/>
  <c r="K18" i="47"/>
  <c r="I19" i="47"/>
  <c r="J19" i="47"/>
  <c r="K19" i="47"/>
  <c r="I20" i="47"/>
  <c r="J20" i="47"/>
  <c r="K20" i="47"/>
  <c r="I21" i="47"/>
  <c r="J21" i="47"/>
  <c r="K21" i="47"/>
  <c r="I22" i="47"/>
  <c r="J22" i="47"/>
  <c r="K22" i="47"/>
  <c r="I23" i="47"/>
  <c r="J23" i="47"/>
  <c r="K23" i="47"/>
  <c r="I24" i="47"/>
  <c r="J24" i="47"/>
  <c r="K24" i="47"/>
  <c r="I25" i="47"/>
  <c r="J25" i="47"/>
  <c r="K25" i="47"/>
  <c r="I26" i="47"/>
  <c r="J26" i="47"/>
  <c r="K26" i="47"/>
  <c r="I27" i="47"/>
  <c r="J27" i="47"/>
  <c r="K27" i="47"/>
  <c r="I28" i="47"/>
  <c r="J28" i="47"/>
  <c r="K28" i="47"/>
  <c r="K29" i="47"/>
  <c r="J5" i="47"/>
  <c r="I5" i="47"/>
  <c r="C6" i="47"/>
  <c r="D6" i="47"/>
  <c r="C7" i="47"/>
  <c r="D7" i="47"/>
  <c r="C8" i="47"/>
  <c r="D8" i="47"/>
  <c r="C9" i="47"/>
  <c r="D9" i="47"/>
  <c r="C10" i="47"/>
  <c r="D10" i="47"/>
  <c r="C11" i="47"/>
  <c r="D11" i="47"/>
  <c r="C12" i="47"/>
  <c r="D12" i="47"/>
  <c r="C13" i="47"/>
  <c r="D13" i="47"/>
  <c r="C14" i="47"/>
  <c r="D14" i="47"/>
  <c r="C15" i="47"/>
  <c r="D15" i="47"/>
  <c r="C16" i="47"/>
  <c r="D16" i="47"/>
  <c r="C17" i="47"/>
  <c r="D17" i="47"/>
  <c r="C18" i="47"/>
  <c r="D18" i="47"/>
  <c r="C19" i="47"/>
  <c r="D19" i="47"/>
  <c r="C20" i="47"/>
  <c r="D20" i="47"/>
  <c r="C21" i="47"/>
  <c r="D21" i="47"/>
  <c r="C22" i="47"/>
  <c r="D22" i="47"/>
  <c r="C23" i="47"/>
  <c r="D23" i="47"/>
  <c r="C24" i="47"/>
  <c r="D24" i="47"/>
  <c r="C25" i="47"/>
  <c r="D25" i="47"/>
  <c r="C26" i="47"/>
  <c r="D26" i="47"/>
  <c r="C27" i="47"/>
  <c r="D27" i="47"/>
  <c r="C28" i="47"/>
  <c r="D28" i="47"/>
  <c r="B6" i="47"/>
  <c r="B7" i="47"/>
  <c r="B8" i="47"/>
  <c r="B9" i="47"/>
  <c r="B10" i="47"/>
  <c r="B11" i="47"/>
  <c r="B12" i="47"/>
  <c r="B13" i="47"/>
  <c r="B14" i="47"/>
  <c r="B15" i="47"/>
  <c r="B16" i="47"/>
  <c r="B17" i="47"/>
  <c r="B18" i="47"/>
  <c r="B19" i="47"/>
  <c r="B20" i="47"/>
  <c r="B21" i="47"/>
  <c r="B22" i="47"/>
  <c r="B23" i="47"/>
  <c r="B24" i="47"/>
  <c r="B25" i="47"/>
  <c r="B26" i="47"/>
  <c r="B27" i="47"/>
  <c r="B28" i="47"/>
  <c r="B5" i="47"/>
  <c r="A6" i="47"/>
  <c r="H6" i="47" s="1"/>
  <c r="A7" i="47"/>
  <c r="A8" i="47"/>
  <c r="H8" i="47" s="1"/>
  <c r="A9" i="47"/>
  <c r="H9" i="47" s="1"/>
  <c r="A10" i="47"/>
  <c r="A11" i="47"/>
  <c r="H11" i="47" s="1"/>
  <c r="A12" i="47"/>
  <c r="H12" i="47" s="1"/>
  <c r="A13" i="47"/>
  <c r="H13" i="47" s="1"/>
  <c r="A14" i="47"/>
  <c r="H14" i="47" s="1"/>
  <c r="A15" i="47"/>
  <c r="A16" i="47"/>
  <c r="H16" i="47" s="1"/>
  <c r="A17" i="47"/>
  <c r="H17" i="47" s="1"/>
  <c r="A18" i="47"/>
  <c r="A19" i="47"/>
  <c r="H19" i="47" s="1"/>
  <c r="A20" i="47"/>
  <c r="H20" i="47" s="1"/>
  <c r="A21" i="47"/>
  <c r="H21" i="47" s="1"/>
  <c r="A22" i="47"/>
  <c r="A23" i="47"/>
  <c r="H23" i="47" s="1"/>
  <c r="A24" i="47"/>
  <c r="H24" i="47" s="1"/>
  <c r="A25" i="47"/>
  <c r="H25" i="47" s="1"/>
  <c r="A26" i="47"/>
  <c r="H26" i="47" s="1"/>
  <c r="A27" i="47"/>
  <c r="H27" i="47" s="1"/>
  <c r="A28" i="47"/>
  <c r="H28" i="47" s="1"/>
  <c r="A5" i="47"/>
  <c r="H22" i="47"/>
  <c r="H15" i="47"/>
  <c r="H7" i="47"/>
  <c r="D5" i="47"/>
  <c r="C5" i="47"/>
  <c r="G14" i="46"/>
  <c r="G13" i="46"/>
  <c r="G12" i="46"/>
  <c r="G11" i="46"/>
  <c r="G7" i="46"/>
  <c r="I26" i="43"/>
  <c r="G26" i="43"/>
  <c r="E26" i="43"/>
  <c r="C26" i="43"/>
  <c r="K25" i="43"/>
  <c r="K24" i="43"/>
  <c r="K23" i="43"/>
  <c r="K22" i="43"/>
  <c r="L19" i="43"/>
  <c r="J19" i="43"/>
  <c r="I19" i="43"/>
  <c r="H19" i="43"/>
  <c r="G19" i="43"/>
  <c r="F19" i="43"/>
  <c r="E19" i="43"/>
  <c r="D19" i="43"/>
  <c r="C19" i="43"/>
  <c r="L18" i="43"/>
  <c r="K18" i="43"/>
  <c r="L17" i="43"/>
  <c r="K17" i="43"/>
  <c r="L16" i="43"/>
  <c r="K16" i="43"/>
  <c r="L15" i="43"/>
  <c r="K15" i="43"/>
  <c r="L14" i="43"/>
  <c r="K14" i="43"/>
  <c r="L13" i="43"/>
  <c r="K13" i="43"/>
  <c r="L12" i="43"/>
  <c r="K12" i="43"/>
  <c r="L11" i="43"/>
  <c r="K11" i="43"/>
  <c r="L10" i="43"/>
  <c r="K10" i="43"/>
  <c r="L9" i="43"/>
  <c r="K9" i="43"/>
  <c r="D51" i="49" l="1"/>
  <c r="K19" i="43"/>
  <c r="H18" i="47"/>
  <c r="H10" i="47"/>
  <c r="B29" i="47"/>
  <c r="D53" i="49"/>
  <c r="D54" i="49" s="1"/>
  <c r="H5" i="47"/>
  <c r="H29" i="47" s="1"/>
  <c r="A98" i="41"/>
  <c r="B97" i="41"/>
  <c r="C97" i="41" s="1"/>
  <c r="D47" i="49"/>
  <c r="G5" i="46"/>
  <c r="K26" i="43"/>
  <c r="H37" i="49" s="1"/>
  <c r="H44" i="49" l="1"/>
  <c r="B98" i="41"/>
  <c r="C98" i="41" s="1"/>
  <c r="A99" i="41"/>
  <c r="H40" i="49"/>
  <c r="H42" i="49" s="1"/>
  <c r="C19" i="10"/>
  <c r="D50" i="49" l="1"/>
  <c r="H45" i="49"/>
  <c r="A100" i="41"/>
  <c r="B99" i="41"/>
  <c r="C99" i="41" s="1"/>
  <c r="K23" i="37"/>
  <c r="D36" i="49" s="1"/>
  <c r="H54" i="49" s="1"/>
  <c r="K24" i="37"/>
  <c r="E10" i="10" s="1"/>
  <c r="K25" i="37"/>
  <c r="E11" i="10" s="1"/>
  <c r="K22" i="37"/>
  <c r="I26" i="37"/>
  <c r="G26" i="37"/>
  <c r="E26" i="37"/>
  <c r="C26" i="37"/>
  <c r="D19" i="37"/>
  <c r="E19" i="37"/>
  <c r="F19" i="37"/>
  <c r="G19" i="37"/>
  <c r="H19" i="37"/>
  <c r="I19" i="37"/>
  <c r="J19" i="37"/>
  <c r="C19" i="37"/>
  <c r="K10" i="37"/>
  <c r="L10" i="37"/>
  <c r="K11" i="37"/>
  <c r="L11" i="37"/>
  <c r="K12" i="37"/>
  <c r="L12" i="37"/>
  <c r="K13" i="37"/>
  <c r="L13" i="37"/>
  <c r="K14" i="37"/>
  <c r="L14" i="37"/>
  <c r="K15" i="37"/>
  <c r="L15" i="37"/>
  <c r="K16" i="37"/>
  <c r="L16" i="37"/>
  <c r="K17" i="37"/>
  <c r="L17" i="37"/>
  <c r="K18" i="37"/>
  <c r="L18" i="37"/>
  <c r="L9" i="37"/>
  <c r="K9" i="37"/>
  <c r="A101" i="41" l="1"/>
  <c r="B100" i="41"/>
  <c r="C100" i="41" s="1"/>
  <c r="L19" i="37"/>
  <c r="K19" i="37"/>
  <c r="K26" i="37"/>
  <c r="C6" i="25"/>
  <c r="J26" i="19"/>
  <c r="J25" i="19"/>
  <c r="J24" i="19"/>
  <c r="H7" i="13"/>
  <c r="G7" i="45" s="1"/>
  <c r="H8" i="13"/>
  <c r="G8" i="45" s="1"/>
  <c r="H9" i="13"/>
  <c r="G9" i="45" s="1"/>
  <c r="H10" i="13"/>
  <c r="G10" i="45" s="1"/>
  <c r="H11" i="13"/>
  <c r="G11" i="45" s="1"/>
  <c r="H12" i="13"/>
  <c r="G12" i="45" s="1"/>
  <c r="H13" i="13"/>
  <c r="G13" i="45" s="1"/>
  <c r="H14" i="13"/>
  <c r="G14" i="45" s="1"/>
  <c r="H6" i="13"/>
  <c r="G6" i="45" s="1"/>
  <c r="D19" i="10"/>
  <c r="C16" i="11"/>
  <c r="A102" i="41" l="1"/>
  <c r="B101" i="41"/>
  <c r="C101" i="41" s="1"/>
  <c r="G28" i="36"/>
  <c r="F28" i="36"/>
  <c r="E28" i="36"/>
  <c r="E29" i="36" s="1"/>
  <c r="E30" i="36" s="1"/>
  <c r="A103" i="41" l="1"/>
  <c r="B102" i="41"/>
  <c r="C102" i="41" s="1"/>
  <c r="L28" i="36"/>
  <c r="K28" i="36"/>
  <c r="J28" i="36"/>
  <c r="D28" i="36"/>
  <c r="C28" i="36"/>
  <c r="B28" i="36"/>
  <c r="H29" i="32"/>
  <c r="H30" i="32" s="1"/>
  <c r="H29" i="34"/>
  <c r="H30" i="34" s="1"/>
  <c r="P28" i="34"/>
  <c r="O28" i="34"/>
  <c r="N28" i="34"/>
  <c r="M28" i="34"/>
  <c r="L28" i="34"/>
  <c r="K28" i="34"/>
  <c r="D28" i="34"/>
  <c r="C28" i="34"/>
  <c r="B28" i="34"/>
  <c r="H29" i="33"/>
  <c r="H30" i="33" s="1"/>
  <c r="P28" i="33"/>
  <c r="O28" i="33"/>
  <c r="N28" i="33"/>
  <c r="M28" i="33"/>
  <c r="L28" i="33"/>
  <c r="K28" i="33"/>
  <c r="D28" i="33"/>
  <c r="C28" i="33"/>
  <c r="B28" i="33"/>
  <c r="C28" i="32"/>
  <c r="D28" i="32"/>
  <c r="B29" i="32" s="1"/>
  <c r="B30" i="32" s="1"/>
  <c r="K28" i="32"/>
  <c r="L28" i="32"/>
  <c r="M28" i="32"/>
  <c r="N28" i="32"/>
  <c r="O28" i="32"/>
  <c r="P28" i="32"/>
  <c r="B28" i="32"/>
  <c r="K29" i="33" l="1"/>
  <c r="K30" i="33" s="1"/>
  <c r="N29" i="32"/>
  <c r="N30" i="32" s="1"/>
  <c r="K29" i="32"/>
  <c r="K30" i="32" s="1"/>
  <c r="A104" i="41"/>
  <c r="B103" i="41"/>
  <c r="C103" i="41" s="1"/>
  <c r="J29" i="36"/>
  <c r="J30" i="36" s="1"/>
  <c r="B29" i="36"/>
  <c r="B30" i="36" s="1"/>
  <c r="N29" i="34"/>
  <c r="N30" i="34" s="1"/>
  <c r="K29" i="34"/>
  <c r="K30" i="34" s="1"/>
  <c r="B29" i="34"/>
  <c r="B30" i="34" s="1"/>
  <c r="N29" i="33"/>
  <c r="N30" i="33" s="1"/>
  <c r="B29" i="33"/>
  <c r="B30" i="33" s="1"/>
  <c r="C17" i="25"/>
  <c r="C5" i="24"/>
  <c r="G9" i="12"/>
  <c r="G10" i="12"/>
  <c r="G11" i="12"/>
  <c r="A105" i="41" l="1"/>
  <c r="B104" i="41"/>
  <c r="C104" i="41" s="1"/>
  <c r="K28" i="19"/>
  <c r="K29" i="19"/>
  <c r="K26" i="19"/>
  <c r="K27" i="19"/>
  <c r="P23" i="19"/>
  <c r="P24" i="19"/>
  <c r="P25" i="19"/>
  <c r="P22" i="19"/>
  <c r="O23" i="19"/>
  <c r="O24" i="19"/>
  <c r="O25" i="19"/>
  <c r="O22" i="19"/>
  <c r="K21" i="19"/>
  <c r="K20" i="19"/>
  <c r="K19" i="19"/>
  <c r="K18" i="19"/>
  <c r="K17" i="19"/>
  <c r="K16" i="19"/>
  <c r="K15" i="19"/>
  <c r="K14" i="19"/>
  <c r="K13" i="19"/>
  <c r="K11" i="19"/>
  <c r="K10" i="19"/>
  <c r="K9" i="19"/>
  <c r="K8" i="19"/>
  <c r="K7" i="19"/>
  <c r="B4" i="19"/>
  <c r="A106" i="41" l="1"/>
  <c r="B105" i="41"/>
  <c r="C105" i="41" s="1"/>
  <c r="E6" i="18"/>
  <c r="E7" i="18"/>
  <c r="E8" i="18"/>
  <c r="E9" i="18"/>
  <c r="E10" i="18"/>
  <c r="E11" i="18"/>
  <c r="E12" i="18"/>
  <c r="E13" i="18"/>
  <c r="E14" i="18"/>
  <c r="E15" i="18"/>
  <c r="E16" i="18"/>
  <c r="E17" i="18"/>
  <c r="E18" i="18"/>
  <c r="E19" i="18"/>
  <c r="E20" i="18"/>
  <c r="E21" i="18"/>
  <c r="E22" i="18"/>
  <c r="E23" i="18"/>
  <c r="E24" i="18"/>
  <c r="E25" i="18"/>
  <c r="E26" i="18"/>
  <c r="E27" i="18"/>
  <c r="E28" i="18"/>
  <c r="E5" i="18"/>
  <c r="E6" i="16"/>
  <c r="E6" i="47" s="1"/>
  <c r="E7" i="16"/>
  <c r="E7" i="47" s="1"/>
  <c r="E8" i="16"/>
  <c r="E8" i="47" s="1"/>
  <c r="E9" i="16"/>
  <c r="E9" i="47" s="1"/>
  <c r="E10" i="16"/>
  <c r="E10" i="47" s="1"/>
  <c r="E11" i="16"/>
  <c r="E11" i="47" s="1"/>
  <c r="E12" i="16"/>
  <c r="E12" i="47" s="1"/>
  <c r="E13" i="16"/>
  <c r="E13" i="47" s="1"/>
  <c r="E14" i="16"/>
  <c r="E14" i="47" s="1"/>
  <c r="E15" i="16"/>
  <c r="E15" i="47" s="1"/>
  <c r="E16" i="16"/>
  <c r="E16" i="47" s="1"/>
  <c r="E17" i="16"/>
  <c r="E17" i="47" s="1"/>
  <c r="E18" i="16"/>
  <c r="E18" i="47" s="1"/>
  <c r="E19" i="16"/>
  <c r="E19" i="47" s="1"/>
  <c r="E20" i="16"/>
  <c r="E20" i="47" s="1"/>
  <c r="E21" i="16"/>
  <c r="E21" i="47" s="1"/>
  <c r="E22" i="16"/>
  <c r="E22" i="47" s="1"/>
  <c r="E23" i="16"/>
  <c r="E23" i="47" s="1"/>
  <c r="E24" i="16"/>
  <c r="E24" i="47" s="1"/>
  <c r="E25" i="16"/>
  <c r="E25" i="47" s="1"/>
  <c r="E26" i="16"/>
  <c r="E26" i="47" s="1"/>
  <c r="E27" i="16"/>
  <c r="E27" i="47" s="1"/>
  <c r="E28" i="16"/>
  <c r="E28" i="47" s="1"/>
  <c r="E5" i="16"/>
  <c r="E5" i="47" s="1"/>
  <c r="E22" i="15"/>
  <c r="E22" i="46" s="1"/>
  <c r="E21" i="15"/>
  <c r="E21" i="46" s="1"/>
  <c r="E20" i="15"/>
  <c r="E20" i="46" s="1"/>
  <c r="E19" i="15"/>
  <c r="E19" i="46" s="1"/>
  <c r="E18" i="15"/>
  <c r="E18" i="46" s="1"/>
  <c r="E17" i="15"/>
  <c r="E17" i="46" s="1"/>
  <c r="E10" i="15"/>
  <c r="E10" i="46" s="1"/>
  <c r="E11" i="15"/>
  <c r="E11" i="46" s="1"/>
  <c r="E12" i="15"/>
  <c r="E12" i="46" s="1"/>
  <c r="E13" i="15"/>
  <c r="E13" i="46" s="1"/>
  <c r="E14" i="15"/>
  <c r="E14" i="46" s="1"/>
  <c r="E15" i="15"/>
  <c r="E15" i="46" s="1"/>
  <c r="E16" i="15"/>
  <c r="E16" i="46" s="1"/>
  <c r="E9" i="15"/>
  <c r="E9" i="46" s="1"/>
  <c r="E7" i="15"/>
  <c r="E7" i="46" s="1"/>
  <c r="E5" i="15"/>
  <c r="E5" i="46" s="1"/>
  <c r="F7" i="13"/>
  <c r="E7" i="45" s="1"/>
  <c r="G7" i="13"/>
  <c r="F7" i="45" s="1"/>
  <c r="F8" i="13"/>
  <c r="E8" i="45" s="1"/>
  <c r="G8" i="13"/>
  <c r="F8" i="45" s="1"/>
  <c r="F9" i="13"/>
  <c r="E9" i="45" s="1"/>
  <c r="G9" i="13"/>
  <c r="F9" i="45" s="1"/>
  <c r="F10" i="13"/>
  <c r="E10" i="45" s="1"/>
  <c r="G10" i="13"/>
  <c r="F10" i="45" s="1"/>
  <c r="F11" i="13"/>
  <c r="E11" i="45" s="1"/>
  <c r="G11" i="13"/>
  <c r="F11" i="45" s="1"/>
  <c r="F12" i="13"/>
  <c r="E12" i="45" s="1"/>
  <c r="G12" i="13"/>
  <c r="F12" i="45" s="1"/>
  <c r="F14" i="13"/>
  <c r="E14" i="45" s="1"/>
  <c r="G14" i="13"/>
  <c r="F14" i="45" s="1"/>
  <c r="G13" i="13"/>
  <c r="F13" i="45" s="1"/>
  <c r="F13" i="13"/>
  <c r="E13" i="45" s="1"/>
  <c r="G6" i="13"/>
  <c r="F6" i="45" s="1"/>
  <c r="F6" i="13"/>
  <c r="E6" i="45" s="1"/>
  <c r="E29" i="47" l="1"/>
  <c r="A107" i="41"/>
  <c r="B106" i="41"/>
  <c r="C106" i="41" s="1"/>
  <c r="E10" i="22"/>
  <c r="F10" i="22"/>
  <c r="G10" i="22"/>
  <c r="H10" i="22"/>
  <c r="D10" i="22"/>
  <c r="J4" i="22"/>
  <c r="K4" i="22"/>
  <c r="L4" i="22"/>
  <c r="M4" i="22"/>
  <c r="J11" i="22"/>
  <c r="K11" i="22"/>
  <c r="L11" i="22"/>
  <c r="M11" i="22"/>
  <c r="J16" i="22"/>
  <c r="K16" i="22"/>
  <c r="L16" i="22"/>
  <c r="M16" i="22"/>
  <c r="J21" i="22"/>
  <c r="K21" i="22"/>
  <c r="L21" i="22"/>
  <c r="M21" i="22"/>
  <c r="J24" i="22"/>
  <c r="K24" i="22"/>
  <c r="L24" i="22"/>
  <c r="M24" i="22"/>
  <c r="I24" i="22"/>
  <c r="I21" i="22"/>
  <c r="I16" i="22"/>
  <c r="I11" i="22"/>
  <c r="I4" i="22"/>
  <c r="E14" i="22"/>
  <c r="F14" i="22"/>
  <c r="G14" i="22"/>
  <c r="H14" i="22"/>
  <c r="E15" i="22"/>
  <c r="F15" i="22"/>
  <c r="G15" i="22"/>
  <c r="H15" i="22"/>
  <c r="E18" i="22"/>
  <c r="F18" i="22"/>
  <c r="G18" i="22"/>
  <c r="H18" i="22"/>
  <c r="E19" i="22"/>
  <c r="F19" i="22"/>
  <c r="G19" i="22"/>
  <c r="H19" i="22"/>
  <c r="E20" i="22"/>
  <c r="F20" i="22"/>
  <c r="G20" i="22"/>
  <c r="H20" i="22"/>
  <c r="E22" i="22"/>
  <c r="F22" i="22"/>
  <c r="G22" i="22"/>
  <c r="H22" i="22"/>
  <c r="E23" i="22"/>
  <c r="F23" i="22"/>
  <c r="G23" i="22"/>
  <c r="H23" i="22"/>
  <c r="D23" i="22"/>
  <c r="D22" i="22"/>
  <c r="D20" i="22"/>
  <c r="D19" i="22"/>
  <c r="D18" i="22"/>
  <c r="E12" i="22"/>
  <c r="F12" i="22"/>
  <c r="G12" i="22"/>
  <c r="H12" i="22"/>
  <c r="D15" i="22"/>
  <c r="D14" i="22"/>
  <c r="D12" i="22"/>
  <c r="E6" i="22"/>
  <c r="F6" i="22"/>
  <c r="G6" i="22"/>
  <c r="H6" i="22"/>
  <c r="E7" i="22"/>
  <c r="F7" i="22"/>
  <c r="G7" i="22"/>
  <c r="H7" i="22"/>
  <c r="E8" i="22"/>
  <c r="F8" i="22"/>
  <c r="G8" i="22"/>
  <c r="H8" i="22"/>
  <c r="E9" i="22"/>
  <c r="F9" i="22"/>
  <c r="G9" i="22"/>
  <c r="H9" i="22"/>
  <c r="D9" i="22"/>
  <c r="D8" i="22"/>
  <c r="D7" i="22"/>
  <c r="D6" i="22"/>
  <c r="O17" i="22"/>
  <c r="O13" i="22"/>
  <c r="O5" i="22"/>
  <c r="D4" i="22"/>
  <c r="O3" i="22"/>
  <c r="N3" i="22"/>
  <c r="A108" i="41" l="1"/>
  <c r="B107" i="41"/>
  <c r="C107" i="41" s="1"/>
  <c r="C17" i="10"/>
  <c r="A109" i="41" l="1"/>
  <c r="B108" i="41"/>
  <c r="C108" i="41" s="1"/>
  <c r="J15" i="12"/>
  <c r="G15" i="12"/>
  <c r="A110" i="41" l="1"/>
  <c r="B109" i="41"/>
  <c r="C109" i="41" s="1"/>
  <c r="H16" i="11"/>
  <c r="E16" i="11"/>
  <c r="J11" i="12"/>
  <c r="J10" i="12"/>
  <c r="J9" i="12"/>
  <c r="J8" i="12"/>
  <c r="I12" i="12"/>
  <c r="H12" i="12"/>
  <c r="E12" i="12"/>
  <c r="G16" i="11"/>
  <c r="F10" i="55" s="1"/>
  <c r="F16" i="11"/>
  <c r="D10" i="55" s="1"/>
  <c r="D16" i="11"/>
  <c r="G12" i="10"/>
  <c r="E12" i="10"/>
  <c r="D42" i="49" s="1"/>
  <c r="D14" i="23"/>
  <c r="D27" i="23" s="1"/>
  <c r="C27" i="23"/>
  <c r="I10" i="55" l="1"/>
  <c r="J10" i="55" s="1"/>
  <c r="I8" i="11"/>
  <c r="I14" i="11"/>
  <c r="I12" i="11"/>
  <c r="J8" i="11"/>
  <c r="J15" i="11"/>
  <c r="J13" i="11"/>
  <c r="J12" i="11"/>
  <c r="I15" i="11"/>
  <c r="I13" i="11"/>
  <c r="I11" i="11"/>
  <c r="J14" i="11"/>
  <c r="J11" i="11"/>
  <c r="I9" i="11"/>
  <c r="J9" i="11"/>
  <c r="I7" i="11"/>
  <c r="J7" i="11"/>
  <c r="A111" i="41"/>
  <c r="B110" i="41"/>
  <c r="C110" i="41" s="1"/>
  <c r="D20" i="10"/>
  <c r="D21" i="10" s="1"/>
  <c r="D43" i="49"/>
  <c r="J10" i="11"/>
  <c r="I10" i="11"/>
  <c r="J17" i="11"/>
  <c r="G17" i="11" s="1"/>
  <c r="J6" i="11"/>
  <c r="I6" i="11"/>
  <c r="J16" i="11"/>
  <c r="I16" i="11"/>
  <c r="C20" i="10"/>
  <c r="C18" i="10" s="1"/>
  <c r="D18" i="10"/>
  <c r="H12" i="10"/>
  <c r="J12" i="12"/>
  <c r="B111" i="41" l="1"/>
  <c r="C111" i="41" s="1"/>
  <c r="D44" i="49"/>
  <c r="H38" i="49"/>
  <c r="H39" i="49" s="1"/>
  <c r="C21" i="10"/>
  <c r="I12" i="10" s="1"/>
  <c r="D6" i="23"/>
  <c r="D5" i="23"/>
  <c r="H48" i="49" l="1"/>
  <c r="H47" i="49"/>
  <c r="D8" i="23"/>
  <c r="L28" i="19"/>
  <c r="L27" i="19"/>
  <c r="R23" i="19"/>
  <c r="R24" i="19"/>
  <c r="R25" i="19"/>
  <c r="R22" i="19"/>
  <c r="Q25" i="19"/>
  <c r="Q24" i="19"/>
  <c r="Q23" i="19"/>
  <c r="Q22" i="19"/>
  <c r="J28" i="19"/>
  <c r="K30" i="19"/>
  <c r="K12" i="19"/>
  <c r="J15" i="19"/>
  <c r="J16" i="19"/>
  <c r="J17" i="19"/>
  <c r="J19" i="19"/>
  <c r="J20" i="19"/>
  <c r="J21" i="19"/>
  <c r="J8" i="19"/>
  <c r="J9" i="19"/>
  <c r="J10" i="19"/>
  <c r="J11" i="19"/>
  <c r="J12" i="19"/>
  <c r="J13" i="19"/>
  <c r="J14" i="19"/>
  <c r="J7" i="19"/>
  <c r="J30" i="19"/>
  <c r="J29" i="19"/>
  <c r="J27" i="19"/>
  <c r="C3" i="19"/>
  <c r="H29" i="18"/>
  <c r="B29" i="18"/>
  <c r="H29" i="16"/>
  <c r="B29" i="16"/>
  <c r="E29" i="16" s="1"/>
  <c r="J23" i="19" l="1"/>
  <c r="J22" i="19"/>
  <c r="E29" i="18"/>
  <c r="C5" i="23"/>
  <c r="L25" i="19"/>
  <c r="L24" i="19"/>
  <c r="L22" i="19"/>
  <c r="L23" i="19"/>
  <c r="K22" i="19"/>
  <c r="K24" i="19"/>
  <c r="K23" i="19"/>
  <c r="K25" i="19"/>
  <c r="C6" i="23" l="1"/>
  <c r="C7" i="23" l="1"/>
  <c r="C8" i="23" s="1"/>
  <c r="F12" i="12"/>
  <c r="G12" i="12" s="1"/>
  <c r="G8" i="12"/>
</calcChain>
</file>

<file path=xl/comments1.xml><?xml version="1.0" encoding="utf-8"?>
<comments xmlns="http://schemas.openxmlformats.org/spreadsheetml/2006/main">
  <authors>
    <author>Emma Stanley</author>
  </authors>
  <commentList>
    <comment ref="D21" authorId="0" shapeId="0">
      <text>
        <r>
          <rPr>
            <sz val="9"/>
            <color indexed="81"/>
            <rFont val="Tahoma"/>
            <family val="2"/>
          </rPr>
          <t xml:space="preserve">Should be within 3% of gross building area
</t>
        </r>
      </text>
    </comment>
    <comment ref="D22" authorId="0" shapeId="0">
      <text>
        <r>
          <rPr>
            <b/>
            <sz val="9"/>
            <color indexed="81"/>
            <rFont val="Tahoma"/>
            <family val="2"/>
          </rPr>
          <t>Matches LV-B area</t>
        </r>
      </text>
    </comment>
    <comment ref="D23" authorId="0" shapeId="0">
      <text>
        <r>
          <rPr>
            <sz val="9"/>
            <color indexed="81"/>
            <rFont val="Tahoma"/>
            <family val="2"/>
          </rPr>
          <t>Includes area of zones that are required for modeling, but do not contribute to actual floor area, such as plenums</t>
        </r>
      </text>
    </comment>
    <comment ref="D24" authorId="0" shapeId="0">
      <text>
        <r>
          <rPr>
            <sz val="9"/>
            <color indexed="81"/>
            <rFont val="Tahoma"/>
            <family val="2"/>
          </rPr>
          <t xml:space="preserve">Should be within 3% of gross building area
</t>
        </r>
      </text>
    </comment>
    <comment ref="D25" authorId="0" shapeId="0">
      <text>
        <r>
          <rPr>
            <sz val="9"/>
            <color indexed="81"/>
            <rFont val="Tahoma"/>
            <family val="2"/>
          </rPr>
          <t>Includes unconditioned areas, such as shafts, that contribute to floor area</t>
        </r>
      </text>
    </comment>
    <comment ref="D53" authorId="0" shapeId="0">
      <text>
        <r>
          <rPr>
            <b/>
            <sz val="9"/>
            <color indexed="81"/>
            <rFont val="Tahoma"/>
            <family val="2"/>
          </rPr>
          <t>Valid for buildings with electricity and natural gas only</t>
        </r>
      </text>
    </comment>
  </commentList>
</comments>
</file>

<file path=xl/comments2.xml><?xml version="1.0" encoding="utf-8"?>
<comments xmlns="http://schemas.openxmlformats.org/spreadsheetml/2006/main">
  <authors>
    <author>Department of Buildings</author>
  </authors>
  <commentList>
    <comment ref="E7" authorId="0" shapeId="0">
      <text>
        <r>
          <rPr>
            <b/>
            <sz val="9"/>
            <color indexed="81"/>
            <rFont val="Tahoma"/>
            <family val="2"/>
          </rPr>
          <t>Department of Buildings:</t>
        </r>
        <r>
          <rPr>
            <sz val="9"/>
            <color indexed="81"/>
            <rFont val="Tahoma"/>
            <family val="2"/>
          </rPr>
          <t xml:space="preserve">
Input data on sheet 4a to populate baseline data</t>
        </r>
      </text>
    </comment>
  </commentList>
</comments>
</file>

<file path=xl/sharedStrings.xml><?xml version="1.0" encoding="utf-8"?>
<sst xmlns="http://schemas.openxmlformats.org/spreadsheetml/2006/main" count="3049" uniqueCount="1030">
  <si>
    <t>Model Input Parameter</t>
  </si>
  <si>
    <t>Description</t>
  </si>
  <si>
    <t>Units</t>
  </si>
  <si>
    <t>System Designation(s)</t>
  </si>
  <si>
    <t xml:space="preserve">Total Cooling Capacity </t>
  </si>
  <si>
    <t>*Table 6.8.1 Unitary Cooling Capacity Range</t>
  </si>
  <si>
    <t xml:space="preserve">Total Heating Capacity </t>
  </si>
  <si>
    <t>*Table 6.8.1 Unitary Heating Capacity Range</t>
  </si>
  <si>
    <t xml:space="preserve">*Unitary Heating Efficiency </t>
  </si>
  <si>
    <t>*Fan Control</t>
  </si>
  <si>
    <t xml:space="preserve">Supply Airflow </t>
  </si>
  <si>
    <t>cfm</t>
  </si>
  <si>
    <t>Outdoor Airflow</t>
  </si>
  <si>
    <t>*Demand Control Ventilation</t>
  </si>
  <si>
    <t>*Economizer High-Limit Shutoff (°F)</t>
  </si>
  <si>
    <t>Supply Fan Power</t>
  </si>
  <si>
    <t>kW</t>
  </si>
  <si>
    <t xml:space="preserve">Return/Relief Fan Power </t>
  </si>
  <si>
    <t>Exhaust Fan Power</t>
  </si>
  <si>
    <t>System Fan Power</t>
  </si>
  <si>
    <t>Allowed Fan Power:</t>
  </si>
  <si>
    <t>Supporting Doc. Location</t>
  </si>
  <si>
    <t>Exhaust Air Energy Recovery Systems</t>
  </si>
  <si>
    <t>Baseline Case</t>
  </si>
  <si>
    <t>Proposed Case</t>
  </si>
  <si>
    <t>Total Chiller Capacity</t>
  </si>
  <si>
    <t>tons</t>
  </si>
  <si>
    <t>Chiller Efficiency - Full Load</t>
  </si>
  <si>
    <t>Chiller Efficiency - Part Load</t>
  </si>
  <si>
    <t>Chilled Water (CHW) Supply Temp</t>
  </si>
  <si>
    <t>°F</t>
  </si>
  <si>
    <t>CHW Supply Temp Reset Parameters</t>
  </si>
  <si>
    <t>CHW Loop Configuration</t>
  </si>
  <si>
    <t>#</t>
  </si>
  <si>
    <t>gpm</t>
  </si>
  <si>
    <t>Water-Side Economizer</t>
  </si>
  <si>
    <t>Water-Side Energy Recovery</t>
  </si>
  <si>
    <t>Cooling Tower Fan Power</t>
  </si>
  <si>
    <t>Cooling Tower Fan Control</t>
  </si>
  <si>
    <t>Condenser Water (CW) Leaving Temp</t>
  </si>
  <si>
    <t>CW ΔT</t>
  </si>
  <si>
    <t>CW Loop Temp Reset Parameters</t>
  </si>
  <si>
    <t>Number of CW Pumps</t>
  </si>
  <si>
    <t>CW Pump Power</t>
  </si>
  <si>
    <t>CW Pump Flow</t>
  </si>
  <si>
    <t>CW Pump Control</t>
  </si>
  <si>
    <t>Number and Type of Boilers</t>
  </si>
  <si>
    <t>Total Boiler Capacity</t>
  </si>
  <si>
    <t>Boiler Efficiency</t>
  </si>
  <si>
    <t>Hot Water or Steam (HHW) Supply Temp</t>
  </si>
  <si>
    <t>HHW ΔT</t>
  </si>
  <si>
    <t>HHW Temp Reset Parameters</t>
  </si>
  <si>
    <t>HHW Loop Configuration</t>
  </si>
  <si>
    <t>*Exhaust Air Energy Recovery Effectiveness</t>
  </si>
  <si>
    <t>Total</t>
  </si>
  <si>
    <t>Electrical/Mechanical</t>
  </si>
  <si>
    <t>Workshop</t>
  </si>
  <si>
    <t>Gymnasium/Exercise Center-Playing Area</t>
  </si>
  <si>
    <t>Tradable Surfaces</t>
  </si>
  <si>
    <t>Drive-throughs</t>
  </si>
  <si>
    <t>Area Type</t>
  </si>
  <si>
    <t>Area Parameters</t>
  </si>
  <si>
    <t>Uncovered parking areas and drives</t>
  </si>
  <si>
    <t>Total area of uncovered parking and drive areas (sq.ft):</t>
  </si>
  <si>
    <t>Walkways less than 10' wide</t>
  </si>
  <si>
    <t>Walkways &gt;= 10' wide</t>
  </si>
  <si>
    <t>Plaza areas</t>
  </si>
  <si>
    <t>Special feature areas</t>
  </si>
  <si>
    <t>Stairways</t>
  </si>
  <si>
    <t>Pedestrian tunnels</t>
  </si>
  <si>
    <t>Area of landscaping (sq.ft):</t>
  </si>
  <si>
    <t>Primary building entrances</t>
  </si>
  <si>
    <t>Other entrances/exits</t>
  </si>
  <si>
    <t>Entry canopies</t>
  </si>
  <si>
    <t>Area of canopies at entrances or exits (sq.ft):</t>
  </si>
  <si>
    <t>Sales canopies</t>
  </si>
  <si>
    <t>Area of canopies over sales functions (sq.ft):</t>
  </si>
  <si>
    <t>Outdoor sales areas</t>
  </si>
  <si>
    <t>Area of sales functions (sq.ft):</t>
  </si>
  <si>
    <t>Street frontage for vehicle sales</t>
  </si>
  <si>
    <t>Total length of street frontage for vehicle sales (ft):</t>
  </si>
  <si>
    <t>Non Tradable Surfaces</t>
  </si>
  <si>
    <t>Building façades</t>
  </si>
  <si>
    <t>Total # of ATMs:</t>
  </si>
  <si>
    <t>Area of uncovered entrances and gatehouse inspection areas at guarded facilities (sq.ft):</t>
  </si>
  <si>
    <t>Area of uncovered loading areas for emergency service vehicles (sq.ft):</t>
  </si>
  <si>
    <t># of drive-throughs:</t>
  </si>
  <si>
    <t>Parking near 24-hour retail entrances (main only)</t>
  </si>
  <si>
    <t># of main entrances:</t>
  </si>
  <si>
    <t>Air-Side HVAC Systems</t>
  </si>
  <si>
    <t>Cooling Tower &amp; Condenser Water</t>
  </si>
  <si>
    <t xml:space="preserve">Chilled Water  </t>
  </si>
  <si>
    <t>System Type &amp; Fuel</t>
  </si>
  <si>
    <t>Input Rating</t>
  </si>
  <si>
    <t>Efficiency</t>
  </si>
  <si>
    <t>Storage Volume</t>
  </si>
  <si>
    <t>Gal</t>
  </si>
  <si>
    <t>Storage Temperature</t>
  </si>
  <si>
    <t>Peak HW Demand</t>
  </si>
  <si>
    <t>GPM</t>
  </si>
  <si>
    <t>Number of Primary DHW pumps</t>
  </si>
  <si>
    <t>Primary DHW Pump Power</t>
  </si>
  <si>
    <t>Primary DHW Pump Control</t>
  </si>
  <si>
    <t>C5 and C6 districts</t>
  </si>
  <si>
    <t>Above-Grade Wall &amp; Vertical Glazing Area by Orientation</t>
  </si>
  <si>
    <t>Orientation</t>
  </si>
  <si>
    <t>Vertical Glazing Area</t>
  </si>
  <si>
    <t>(%)</t>
  </si>
  <si>
    <t>North</t>
  </si>
  <si>
    <t>East</t>
  </si>
  <si>
    <t>South</t>
  </si>
  <si>
    <t>West</t>
  </si>
  <si>
    <t>Roof &amp; Skylight Area</t>
  </si>
  <si>
    <t>Skylight Area</t>
  </si>
  <si>
    <t>SHGC</t>
  </si>
  <si>
    <t>VLT</t>
  </si>
  <si>
    <t>Shading Devices</t>
  </si>
  <si>
    <t>List any permanent or auto-controlled shading devices:</t>
  </si>
  <si>
    <t>Baseline Watts</t>
  </si>
  <si>
    <t>Purchased Energy Rates</t>
  </si>
  <si>
    <t>Fuel</t>
  </si>
  <si>
    <t>Virtual Utility Rate ($/unit)</t>
  </si>
  <si>
    <t>Baseline Design</t>
  </si>
  <si>
    <t>Model Output Report</t>
  </si>
  <si>
    <t>Electric</t>
  </si>
  <si>
    <t>Gas</t>
  </si>
  <si>
    <t>Steam</t>
  </si>
  <si>
    <t>Other:</t>
  </si>
  <si>
    <t>TOTAL</t>
  </si>
  <si>
    <t>Energy Modeling Usage Summary</t>
  </si>
  <si>
    <t>Baseline Model</t>
  </si>
  <si>
    <t>Proposed Model</t>
  </si>
  <si>
    <t>Electric Usage (kwh)</t>
  </si>
  <si>
    <t>Model Output Location (Report)</t>
  </si>
  <si>
    <t>Interior Lighting</t>
  </si>
  <si>
    <t>Misc. Equip.</t>
  </si>
  <si>
    <t>Space Heat</t>
  </si>
  <si>
    <t>Space Cool</t>
  </si>
  <si>
    <t>Heat Rejection</t>
  </si>
  <si>
    <t>Pumps &amp; Misc</t>
  </si>
  <si>
    <t>Vent Fans</t>
  </si>
  <si>
    <t>Dom. Hot Water</t>
  </si>
  <si>
    <t>Exterior Lighting</t>
  </si>
  <si>
    <t>Exterior Misc.</t>
  </si>
  <si>
    <t>Above-Grade Wall &amp; Fenestration Areas</t>
  </si>
  <si>
    <t>Vertical Fenestration</t>
  </si>
  <si>
    <t>Category (Res/Non-Res)</t>
  </si>
  <si>
    <t>Item #</t>
  </si>
  <si>
    <t>Description (from design)</t>
  </si>
  <si>
    <t>Non-Residential</t>
  </si>
  <si>
    <t>Residential</t>
  </si>
  <si>
    <t>Nonmetal framing (all)</t>
  </si>
  <si>
    <t>Metal framing (entrance door)</t>
  </si>
  <si>
    <t>U-0.50</t>
  </si>
  <si>
    <t>U-factor</t>
  </si>
  <si>
    <t xml:space="preserve">Vertical  </t>
  </si>
  <si>
    <t>Skylight</t>
  </si>
  <si>
    <t>Description
(from ASHRAE)</t>
  </si>
  <si>
    <t>Supporting Doc Location</t>
  </si>
  <si>
    <t>Assembly U-factor/ C-factor/ F-factor</t>
  </si>
  <si>
    <t>Roof Construction</t>
  </si>
  <si>
    <t>Solar Reflectance</t>
  </si>
  <si>
    <t>SR =</t>
  </si>
  <si>
    <t>Above-Grade Exterior Wall Construction</t>
  </si>
  <si>
    <t>Below-Grade Exterior Wall Construction</t>
  </si>
  <si>
    <t>Exposed Floor Construction</t>
  </si>
  <si>
    <t> Slab-On-Grade Floors</t>
  </si>
  <si>
    <t>Opaque Doors</t>
  </si>
  <si>
    <t xml:space="preserve">Space-Conditioning Category </t>
  </si>
  <si>
    <t>Insulation Entirely Above Deck</t>
  </si>
  <si>
    <t>Metal Building</t>
  </si>
  <si>
    <t>Attic and Other</t>
  </si>
  <si>
    <t>Mass</t>
  </si>
  <si>
    <t>Steel-Framed</t>
  </si>
  <si>
    <t>Wood-Framed and Other</t>
  </si>
  <si>
    <t>Below-Grade Wall</t>
  </si>
  <si>
    <t>Steel-Joist</t>
  </si>
  <si>
    <t>Unheated</t>
  </si>
  <si>
    <t>Heated</t>
  </si>
  <si>
    <t>Swinging</t>
  </si>
  <si>
    <t>Nonswinging</t>
  </si>
  <si>
    <t>U-0.104</t>
  </si>
  <si>
    <t>U-0.064</t>
  </si>
  <si>
    <t>U-0.089</t>
  </si>
  <si>
    <t>C-1.140</t>
  </si>
  <si>
    <t>U-0.038</t>
  </si>
  <si>
    <t>U-0.033</t>
  </si>
  <si>
    <t>U-0.700</t>
  </si>
  <si>
    <t>U-0.500</t>
  </si>
  <si>
    <t>U-0.090</t>
  </si>
  <si>
    <t>C-0.119</t>
  </si>
  <si>
    <t>U-0.58</t>
  </si>
  <si>
    <t>U-0.124</t>
  </si>
  <si>
    <t>F-0.7300</t>
  </si>
  <si>
    <t>U-1.450</t>
  </si>
  <si>
    <t>Semiheated</t>
  </si>
  <si>
    <t>U-factor/ C-factor/ F-factor</t>
  </si>
  <si>
    <t>Space Type (Table 9.6.1) or Building Area Type (Table 9.5.1)</t>
  </si>
  <si>
    <t>Auto. Controls (Yes/No)</t>
  </si>
  <si>
    <t>Daylight Ctrls (Yes/No)</t>
  </si>
  <si>
    <t>Modeled LPD</t>
  </si>
  <si>
    <t>(W/ft2)</t>
  </si>
  <si>
    <t>Yes</t>
  </si>
  <si>
    <t>No</t>
  </si>
  <si>
    <t>Building Area Method Categories</t>
  </si>
  <si>
    <t>Table 9.5.1 LPD (W/sf)</t>
  </si>
  <si>
    <t>Space by Space Categories</t>
  </si>
  <si>
    <t>Table 9.6.1 LPD (W/sf)</t>
  </si>
  <si>
    <t>Automotive facility</t>
  </si>
  <si>
    <t>Convention center</t>
  </si>
  <si>
    <t>Courthouse</t>
  </si>
  <si>
    <t>Dining: bar lounge/leisure</t>
  </si>
  <si>
    <t>Dining: cafeteria/fast food</t>
  </si>
  <si>
    <t>Dining: family</t>
  </si>
  <si>
    <t>Dormitory</t>
  </si>
  <si>
    <t>Exercise center</t>
  </si>
  <si>
    <t>Gymnasium</t>
  </si>
  <si>
    <t>Health-care clinic</t>
  </si>
  <si>
    <t>Hospital</t>
  </si>
  <si>
    <t>Library</t>
  </si>
  <si>
    <t>Manufacturing facility</t>
  </si>
  <si>
    <t>Motion picture theater</t>
  </si>
  <si>
    <t>Multifamily</t>
  </si>
  <si>
    <t>Museum</t>
  </si>
  <si>
    <t>Office</t>
  </si>
  <si>
    <t>Parking garage</t>
  </si>
  <si>
    <t>Penitentiary</t>
  </si>
  <si>
    <t>Performing arts theater</t>
  </si>
  <si>
    <t>Post office</t>
  </si>
  <si>
    <t>Religious building</t>
  </si>
  <si>
    <t>Retail</t>
  </si>
  <si>
    <t>School/university</t>
  </si>
  <si>
    <t>Sports arena</t>
  </si>
  <si>
    <t>Town hall</t>
  </si>
  <si>
    <t>Transportation</t>
  </si>
  <si>
    <t>Warehouse</t>
  </si>
  <si>
    <t>Sales Area</t>
  </si>
  <si>
    <t>Courtroom</t>
  </si>
  <si>
    <t>Confinement Cells</t>
  </si>
  <si>
    <t>Post Office-Sorting Area</t>
  </si>
  <si>
    <t>Convention Center-Exhibit Space</t>
  </si>
  <si>
    <t>Manufacturing-Detailed Manufacturing</t>
  </si>
  <si>
    <t>Manufacturing-Equipment Room</t>
  </si>
  <si>
    <t>Museum-General Exhibition</t>
  </si>
  <si>
    <t>Museum-Restoration</t>
  </si>
  <si>
    <t>Religious Buildings-Worship Pulpit, Choir</t>
  </si>
  <si>
    <t>Religious Buildings-Fellowship Hall</t>
  </si>
  <si>
    <t>Retail-Mall Concourse</t>
  </si>
  <si>
    <t>Fire station</t>
  </si>
  <si>
    <t>Police station</t>
  </si>
  <si>
    <t>Atrium - first 40ft in height</t>
  </si>
  <si>
    <t>Atrium - height above 40ft</t>
  </si>
  <si>
    <t>Audience/seating area - auditorium</t>
  </si>
  <si>
    <t>Audience/seating area - performing arts theater</t>
  </si>
  <si>
    <t>Audience/seating area - motion picture theater</t>
  </si>
  <si>
    <t>Conference/meeting/multipurpose</t>
  </si>
  <si>
    <t>Lobby - Elevator</t>
  </si>
  <si>
    <t>Lobby - Performing Arts Theater</t>
  </si>
  <si>
    <t>Lobby - Motion Picture Theater</t>
  </si>
  <si>
    <t>Locker Room</t>
  </si>
  <si>
    <t>Office - Open Plan</t>
  </si>
  <si>
    <t>Library - Reading Area</t>
  </si>
  <si>
    <t>Library - Stacks</t>
  </si>
  <si>
    <t>Manufacturing-Extra High Bay (&gt;50ft floor to ceiling ht)</t>
  </si>
  <si>
    <t>Manufacturing-High Bay (25-50ft floor to ceiling ht)</t>
  </si>
  <si>
    <t>Manufacturing-Low Bay (&lt;25ft floor to ceiling ht)</t>
  </si>
  <si>
    <t>Retail-Dressing/Fitting Room</t>
  </si>
  <si>
    <t>Sports Arena-Court Sports Area-Class 4</t>
  </si>
  <si>
    <t>Sports Arena-Court Sports Area-Class 3</t>
  </si>
  <si>
    <t>Sports Arena-Court Sports Area-Class 2</t>
  </si>
  <si>
    <t>Sports Arena-Court Sports Area-Class 1</t>
  </si>
  <si>
    <r>
      <t>Total Area  Space/Blg Type (ft</t>
    </r>
    <r>
      <rPr>
        <vertAlign val="superscript"/>
        <sz val="8"/>
        <rFont val="Calibri"/>
        <family val="2"/>
        <scheme val="minor"/>
      </rPr>
      <t>2</t>
    </r>
    <r>
      <rPr>
        <sz val="8"/>
        <rFont val="Calibri"/>
        <family val="2"/>
        <scheme val="minor"/>
      </rPr>
      <t>)</t>
    </r>
  </si>
  <si>
    <t>Exterior Lighting  Power</t>
  </si>
  <si>
    <t>Baseline Design (Watts)</t>
  </si>
  <si>
    <t>Proposed Design (Watts)</t>
  </si>
  <si>
    <t>Tradable Lighting Power</t>
  </si>
  <si>
    <t>Non-Tradable Lighting Power</t>
  </si>
  <si>
    <t>Total Lighting Power</t>
  </si>
  <si>
    <t>Unit Allowances</t>
  </si>
  <si>
    <t>Lighting Zone</t>
  </si>
  <si>
    <t>Base Site Allowance (watts)</t>
  </si>
  <si>
    <t>Undeveloped areas within national and state parks, forest land and rural areas and other undeveloped areas as approved by the AHJ</t>
  </si>
  <si>
    <t>YES</t>
  </si>
  <si>
    <t>NO</t>
  </si>
  <si>
    <t>Area Allowance (watts/sq.ft)</t>
  </si>
  <si>
    <t>Linear Allowance (watts/linear foot)</t>
  </si>
  <si>
    <t>Surface</t>
  </si>
  <si>
    <t>Surface Type</t>
  </si>
  <si>
    <t>Type</t>
  </si>
  <si>
    <t>LZ0</t>
  </si>
  <si>
    <t>LZ1</t>
  </si>
  <si>
    <t>LZ2</t>
  </si>
  <si>
    <t>LZ3</t>
  </si>
  <si>
    <t>LZ4</t>
  </si>
  <si>
    <t>Base Allowance</t>
  </si>
  <si>
    <t>Unit Allowance</t>
  </si>
  <si>
    <t>Surface2</t>
  </si>
  <si>
    <t>ATM or Night Depository</t>
  </si>
  <si>
    <t>Nontradable</t>
  </si>
  <si>
    <t>Tradable</t>
  </si>
  <si>
    <t>Building façade</t>
  </si>
  <si>
    <t>Drive-thrus</t>
  </si>
  <si>
    <t>Entrances and gatehouse inspection at guarded facilities (uncovered)</t>
  </si>
  <si>
    <t>Landscaping</t>
  </si>
  <si>
    <t>Loading area for emergency service vehicles (uncovered)</t>
  </si>
  <si>
    <t>Outdoor sales area</t>
  </si>
  <si>
    <t>Sales canopy</t>
  </si>
  <si>
    <t>Roadway/parking, entry, trailhead, toilet facility</t>
  </si>
  <si>
    <t>Uncovered parking areas and drive</t>
  </si>
  <si>
    <t>Park Land</t>
  </si>
  <si>
    <t>R districts, R districts with C overlays and MX districts</t>
  </si>
  <si>
    <t>M districts, except MX; C districts, except C5, C6 and C overlays on R</t>
  </si>
  <si>
    <t>Uncovered Parking Areas</t>
  </si>
  <si>
    <t>Building Grounds</t>
  </si>
  <si>
    <t>Area of walkways greater than 10' wide</t>
  </si>
  <si>
    <t xml:space="preserve">Length of walkways less than 10' wide </t>
  </si>
  <si>
    <t>Special feature areas (sqft)</t>
  </si>
  <si>
    <t>Plaza areas (sqft)</t>
  </si>
  <si>
    <t>Area of stairways (sqft)</t>
  </si>
  <si>
    <t>Area of pedestrian tunnels (sqft)</t>
  </si>
  <si>
    <t>Total door width of primary entrances (ft):</t>
  </si>
  <si>
    <t>Total door width of other entrances &amp; exits (ft):</t>
  </si>
  <si>
    <t>Building Entrances &amp; Exits</t>
  </si>
  <si>
    <t>W/SF</t>
  </si>
  <si>
    <t>W/FT</t>
  </si>
  <si>
    <t>Watts/drive thru</t>
  </si>
  <si>
    <t>Watts/entrance</t>
  </si>
  <si>
    <t>Proposed Watts</t>
  </si>
  <si>
    <t>ATMs</t>
  </si>
  <si>
    <t>Guarded facility entrances</t>
  </si>
  <si>
    <t>Emergency Vehicle Loading Area</t>
  </si>
  <si>
    <t>Service Hot Water Systems</t>
  </si>
  <si>
    <t>Proposed Design</t>
  </si>
  <si>
    <t>kBtu/h</t>
  </si>
  <si>
    <t>EF</t>
  </si>
  <si>
    <t>SL</t>
  </si>
  <si>
    <r>
      <t>E</t>
    </r>
    <r>
      <rPr>
        <vertAlign val="subscript"/>
        <sz val="11"/>
        <color theme="1"/>
        <rFont val="Calibri"/>
        <family val="2"/>
        <scheme val="minor"/>
      </rPr>
      <t>t</t>
    </r>
  </si>
  <si>
    <t>COP</t>
  </si>
  <si>
    <t>Et</t>
  </si>
  <si>
    <t>f</t>
  </si>
  <si>
    <t>Process/Receptacle Equipment</t>
  </si>
  <si>
    <t>Space Type (or Equipment Type)</t>
  </si>
  <si>
    <t>Space Area (or # Equip.)</t>
  </si>
  <si>
    <t>Equipment Power Density (W/SF) or (Equip Demand)</t>
  </si>
  <si>
    <t>Baseline Modeled Identically? (Yes/No)</t>
  </si>
  <si>
    <t>SQFT</t>
  </si>
  <si>
    <t>Utility Rate Provider/Rate Structure (i.e ConEd)</t>
  </si>
  <si>
    <t>Baseline Design
Total Charge ($)</t>
  </si>
  <si>
    <t>Proposed Design Total Charge ($)</t>
  </si>
  <si>
    <t>Other Usage (i.e. chilled water)
(indicate units)</t>
  </si>
  <si>
    <t xml:space="preserve">System Description </t>
  </si>
  <si>
    <t># of Similar Systems</t>
  </si>
  <si>
    <t xml:space="preserve">*Unitary Cooling Part-load Eff. (if applicable) </t>
  </si>
  <si>
    <t>Other (describe)</t>
  </si>
  <si>
    <t>*Unitary Cooling Eff. (EER or SEER)</t>
  </si>
  <si>
    <t>kBTU/h</t>
  </si>
  <si>
    <t>Btuh</t>
  </si>
  <si>
    <t>EER</t>
  </si>
  <si>
    <t>SEER</t>
  </si>
  <si>
    <t>Ec</t>
  </si>
  <si>
    <t>AFUE</t>
  </si>
  <si>
    <t>HSPF</t>
  </si>
  <si>
    <t>IEER</t>
  </si>
  <si>
    <t>Constant Volume</t>
  </si>
  <si>
    <t>CHW ΔT</t>
  </si>
  <si>
    <t>Number of Primary CHW Pumps</t>
  </si>
  <si>
    <t>Primary CHW Pump Power</t>
  </si>
  <si>
    <t>Primary CHW Pump Flow</t>
  </si>
  <si>
    <t>Primary CHW Pump Control</t>
  </si>
  <si>
    <t>Number of Secondary CHW Pumps</t>
  </si>
  <si>
    <t>Secondary CHW Pump Power</t>
  </si>
  <si>
    <t>Secondary CHW Pump Flow</t>
  </si>
  <si>
    <t>Secondary CHW Pump Control</t>
  </si>
  <si>
    <t># and Type of Chillers (and capacity of chiller if more than 1 type or size)</t>
  </si>
  <si>
    <t>HVAC System / Group (BASELINE DESIGN)</t>
  </si>
  <si>
    <t>HVAC System / Group (PROPOSED DESIGN)</t>
  </si>
  <si>
    <t>Number of Cooling Towers/Fluid Coolers</t>
  </si>
  <si>
    <t>Hot Water or Steam</t>
  </si>
  <si>
    <t>Number of Primary HHW Pumps</t>
  </si>
  <si>
    <t>Primary HHW Pump Power</t>
  </si>
  <si>
    <t>Primary HHW Pump Flow</t>
  </si>
  <si>
    <t>Primary HHW Pump Control</t>
  </si>
  <si>
    <t>Number of Secondary HHW Pumps</t>
  </si>
  <si>
    <t>Secondary HHW Pump Power</t>
  </si>
  <si>
    <t>Secondary HHW Pump Flow</t>
  </si>
  <si>
    <t>Secondary HHW Pump Control</t>
  </si>
  <si>
    <t>Type of Geothermal system</t>
  </si>
  <si>
    <t>Soil Conductivity (if applicable)</t>
  </si>
  <si>
    <t>Geothermal source design temperature - summer</t>
  </si>
  <si>
    <t>Geothermal source design temperature - winter</t>
  </si>
  <si>
    <t>Geoexchange loop design fluid supply temperature - cooling</t>
  </si>
  <si>
    <t>Geoexchange loop design fluid supply temperature -heating</t>
  </si>
  <si>
    <t>Geoexchange loop - operating temperature</t>
  </si>
  <si>
    <t>Geothermal energy transfer effect</t>
  </si>
  <si>
    <t>Geothermal Loop Pumping Configuration</t>
  </si>
  <si>
    <t>Number of Geothermal Loop Pumps</t>
  </si>
  <si>
    <t>Geothermal Loop Pump Control</t>
  </si>
  <si>
    <t xml:space="preserve">Geothermal Pump Power </t>
  </si>
  <si>
    <t>Geothermal Loop Flow</t>
  </si>
  <si>
    <t>Geothermal Air-side Efficiency curves</t>
  </si>
  <si>
    <t>W/gpm</t>
  </si>
  <si>
    <t>NA</t>
  </si>
  <si>
    <t>CHP: Type of generator</t>
  </si>
  <si>
    <t>Quantity of CHP generators</t>
  </si>
  <si>
    <t>Total capacity of CHP generators (kW) at design conditions</t>
  </si>
  <si>
    <t>CHP: Thermal efficiency (%) at design conditions</t>
  </si>
  <si>
    <t>CHP: Electrical efficiency (%) at design conditions</t>
  </si>
  <si>
    <t>CHP: Controls / Schedule</t>
  </si>
  <si>
    <t>CHP: Fuel Source</t>
  </si>
  <si>
    <t>CHP: Where is the recovered heat used? (e.g. gas absorption chillers, hot water distribution loop, etc.)</t>
  </si>
  <si>
    <t>CHP: Backup heat source when waste heat from CHP is unavailable? (e.g. fossil fuel boilers)</t>
  </si>
  <si>
    <t>CHP: Parasitic losses (e.g. air handling unit to cool the intake air)</t>
  </si>
  <si>
    <t>%</t>
  </si>
  <si>
    <t>Combined  Heat &amp; Power Systems</t>
  </si>
  <si>
    <t>Length or Area (FT or SQFT)</t>
  </si>
  <si>
    <t>Length of façade #1 (ft)</t>
  </si>
  <si>
    <t>Length of façade #2 (ft)</t>
  </si>
  <si>
    <t>Length of façade #3 (ft)</t>
  </si>
  <si>
    <t>Length of façade #4 (ft)</t>
  </si>
  <si>
    <t>Area of façade #1 (sqft)</t>
  </si>
  <si>
    <t>Area of façade #2 (sqft)</t>
  </si>
  <si>
    <t>Area of façade #3 (sqft)</t>
  </si>
  <si>
    <t>Area of façade #4 (sqft)</t>
  </si>
  <si>
    <t># of Locations:</t>
  </si>
  <si>
    <r>
      <t>Window + Wall Area (ft</t>
    </r>
    <r>
      <rPr>
        <vertAlign val="superscript"/>
        <sz val="8"/>
        <rFont val="Arial"/>
        <family val="2"/>
      </rPr>
      <t>2</t>
    </r>
    <r>
      <rPr>
        <sz val="8"/>
        <rFont val="Arial"/>
        <family val="2"/>
      </rPr>
      <t>)</t>
    </r>
  </si>
  <si>
    <r>
      <t>(ft</t>
    </r>
    <r>
      <rPr>
        <vertAlign val="superscript"/>
        <sz val="8"/>
        <rFont val="Arial"/>
        <family val="2"/>
      </rPr>
      <t>2</t>
    </r>
    <r>
      <rPr>
        <sz val="8"/>
        <rFont val="Arial"/>
        <family val="2"/>
      </rPr>
      <t>)</t>
    </r>
  </si>
  <si>
    <r>
      <t>Roof + Skylight Area (ft</t>
    </r>
    <r>
      <rPr>
        <vertAlign val="superscript"/>
        <sz val="8"/>
        <rFont val="Arial"/>
        <family val="2"/>
      </rPr>
      <t>2</t>
    </r>
    <r>
      <rPr>
        <sz val="8"/>
        <rFont val="Arial"/>
        <family val="2"/>
      </rPr>
      <t>)</t>
    </r>
  </si>
  <si>
    <t>☐No shading projections, manual shading devices, or self-shading have been modeled.</t>
  </si>
  <si>
    <t>☐Any shading by adjacent structures has been modeled identically to the proposed case.</t>
  </si>
  <si>
    <t>Modeling Parameters/
Schedule</t>
  </si>
  <si>
    <t xml:space="preserve"> Description</t>
  </si>
  <si>
    <t>Geothermal Systems</t>
  </si>
  <si>
    <t>NR</t>
  </si>
  <si>
    <t>WORKBOOK COLOR LEGEND</t>
  </si>
  <si>
    <t>Do not edit:  information</t>
  </si>
  <si>
    <t>Do not edit:  formulas</t>
  </si>
  <si>
    <t>User edit:  drop-down menu</t>
  </si>
  <si>
    <t>User edit:  fill in box</t>
  </si>
  <si>
    <t>* Use the tab labeled "Ext. LPD Calculator" to automatically fill in the table above</t>
  </si>
  <si>
    <t>Performance Cost Index</t>
  </si>
  <si>
    <t>Performance Cost Index - Appendix G ONLY</t>
  </si>
  <si>
    <t>4A</t>
  </si>
  <si>
    <t>Baseline Unregulated Cost</t>
  </si>
  <si>
    <t>Baseline Regulated Cost</t>
  </si>
  <si>
    <t>Building Performance Factor</t>
  </si>
  <si>
    <t>Proposed Building</t>
  </si>
  <si>
    <t>Total Energy Cost</t>
  </si>
  <si>
    <t>Baseline Building</t>
  </si>
  <si>
    <t>Healthcare/hospital</t>
  </si>
  <si>
    <t>Hotel/motel</t>
  </si>
  <si>
    <t>Restaurant</t>
  </si>
  <si>
    <t>School</t>
  </si>
  <si>
    <t>All Other</t>
  </si>
  <si>
    <t>U-0.35</t>
  </si>
  <si>
    <t>U-0.51</t>
  </si>
  <si>
    <t>Metal framing (fixed)</t>
  </si>
  <si>
    <t>U-0.42</t>
  </si>
  <si>
    <t>U-0.73</t>
  </si>
  <si>
    <t>Metal framing (operable)</t>
  </si>
  <si>
    <t>U-0.81</t>
  </si>
  <si>
    <t>U-0.77</t>
  </si>
  <si>
    <t>U-0.68</t>
  </si>
  <si>
    <t>U-1.15</t>
  </si>
  <si>
    <t>U-0.032</t>
  </si>
  <si>
    <t>U-0.093</t>
  </si>
  <si>
    <t>U-0.037</t>
  </si>
  <si>
    <t>U-0.082</t>
  </si>
  <si>
    <t>U-0.021</t>
  </si>
  <si>
    <t>U-0.034</t>
  </si>
  <si>
    <t>U-0.060</t>
  </si>
  <si>
    <t>U-0.050</t>
  </si>
  <si>
    <t>U-0.162</t>
  </si>
  <si>
    <t>C-0.092</t>
  </si>
  <si>
    <t>U-0.057</t>
  </si>
  <si>
    <t>U-0.051</t>
  </si>
  <si>
    <t>U-0.107</t>
  </si>
  <si>
    <t>U-0.052</t>
  </si>
  <si>
    <t>F-0.520</t>
  </si>
  <si>
    <t>F-0.843</t>
  </si>
  <si>
    <t>F-0.688</t>
  </si>
  <si>
    <t>F-0.900</t>
  </si>
  <si>
    <t>% of above-grade wall</t>
  </si>
  <si>
    <t>Hotel/Motel</t>
  </si>
  <si>
    <t>Audience/seating area - convention center</t>
  </si>
  <si>
    <t>Audience/seating area - gymnasium</t>
  </si>
  <si>
    <t>Audience/seating area - penitentiary</t>
  </si>
  <si>
    <t>Audience/seating area - religious building</t>
  </si>
  <si>
    <t>Audience/seating area - sports arena</t>
  </si>
  <si>
    <t>Audience/seating area - all other</t>
  </si>
  <si>
    <t>Banking Activity Area</t>
  </si>
  <si>
    <t>Classroom/lecture/training - penitentiary</t>
  </si>
  <si>
    <t>Copy/Print Room</t>
  </si>
  <si>
    <t>Corridor - facility for visually impaired</t>
  </si>
  <si>
    <t>Corridor - hospital</t>
  </si>
  <si>
    <t>Corridor - manufacturing facility</t>
  </si>
  <si>
    <t>Corridor - all other</t>
  </si>
  <si>
    <t>Computer Room</t>
  </si>
  <si>
    <t>Dining Area - penitentiary</t>
  </si>
  <si>
    <t>Dining Area - facility for visually impaired</t>
  </si>
  <si>
    <t>Dining Area - Bar Lounge/Leisure Dining</t>
  </si>
  <si>
    <t>Dining Area - cafeteria/fast food</t>
  </si>
  <si>
    <t>Dining Area - Family Dining</t>
  </si>
  <si>
    <t>Dining Area - all other</t>
  </si>
  <si>
    <t>Emergency Vehicle Garage</t>
  </si>
  <si>
    <t>Food Preparation Area</t>
  </si>
  <si>
    <t>Guest Room</t>
  </si>
  <si>
    <t>Laboratory - in or as a classroom</t>
  </si>
  <si>
    <t>Laboratory - other</t>
  </si>
  <si>
    <t>Laundry/Washing Area</t>
  </si>
  <si>
    <t>Loading Dock, Interior</t>
  </si>
  <si>
    <t>Lobby - Hotel</t>
  </si>
  <si>
    <t>Lobby - all other</t>
  </si>
  <si>
    <t>Lobby - facility for visually impaired</t>
  </si>
  <si>
    <t>Lounge/Breakroom - healthcare facility</t>
  </si>
  <si>
    <t>Lounge/Breakroom - all other</t>
  </si>
  <si>
    <r>
      <t xml:space="preserve">Office - Enclosed and </t>
    </r>
    <r>
      <rPr>
        <u/>
        <sz val="10"/>
        <rFont val="Calibri"/>
        <family val="2"/>
        <scheme val="minor"/>
      </rPr>
      <t>&lt;</t>
    </r>
    <r>
      <rPr>
        <sz val="10"/>
        <rFont val="Calibri"/>
        <family val="2"/>
        <scheme val="minor"/>
      </rPr>
      <t xml:space="preserve"> 250 sqft</t>
    </r>
  </si>
  <si>
    <t>Office - Enclosed and &gt; 250 sqft</t>
  </si>
  <si>
    <t>Parking Area, Interior</t>
  </si>
  <si>
    <t>Pharmacy Area</t>
  </si>
  <si>
    <t>Restroom - visually impaired</t>
  </si>
  <si>
    <t>Restroom - all other</t>
  </si>
  <si>
    <t>Seating Area, General</t>
  </si>
  <si>
    <t>Stairwell</t>
  </si>
  <si>
    <t>Storage room &lt; 50 sqft</t>
  </si>
  <si>
    <r>
      <t xml:space="preserve">Storage room </t>
    </r>
    <r>
      <rPr>
        <u/>
        <sz val="10"/>
        <rFont val="Calibri"/>
        <family val="2"/>
        <scheme val="minor"/>
      </rPr>
      <t xml:space="preserve">&lt; </t>
    </r>
    <r>
      <rPr>
        <sz val="10"/>
        <rFont val="Calibri"/>
        <family val="2"/>
        <scheme val="minor"/>
      </rPr>
      <t>50 sqft and &lt; 1000 sqft</t>
    </r>
  </si>
  <si>
    <t>Storage room - all other</t>
  </si>
  <si>
    <t>Vehicular Maintenance Area</t>
  </si>
  <si>
    <t>Facility for Visually Impaired - in a chapel</t>
  </si>
  <si>
    <t>Facility for Visually Impaired - in a rec room/common living rm</t>
  </si>
  <si>
    <t>Automotive</t>
  </si>
  <si>
    <t>Dormitory - living quarters</t>
  </si>
  <si>
    <t>Fire station - sleeping quarters</t>
  </si>
  <si>
    <t>Gymnasium/Fitness Center - exercise area</t>
  </si>
  <si>
    <t>Healthcare facility - exam treatment room</t>
  </si>
  <si>
    <t>Healthcare facility - imaging room</t>
  </si>
  <si>
    <t>Healthcare facility - medical supply room</t>
  </si>
  <si>
    <t>Healthcare facility - nursery</t>
  </si>
  <si>
    <t>Healthcare facility - nurse's station</t>
  </si>
  <si>
    <t>Healthcare facility - Operating Room</t>
  </si>
  <si>
    <t>Healthcare facility - Patient Room</t>
  </si>
  <si>
    <t>Healthcare facility - Physical Therapy</t>
  </si>
  <si>
    <t>Healthcare facility - Recovery</t>
  </si>
  <si>
    <t>Performing Arts Theater - dressing room</t>
  </si>
  <si>
    <t>Transportation facility - baggage/carousel area</t>
  </si>
  <si>
    <t>Transportation facility - airport concourse</t>
  </si>
  <si>
    <t>Transportation facility - terminal ticket counter</t>
  </si>
  <si>
    <t>Warehouse storage - medium to bulky, palletized items</t>
  </si>
  <si>
    <t>Warehouse storage - smaller, hand-carried items</t>
  </si>
  <si>
    <t>Loading docks</t>
  </si>
  <si>
    <t>Loading Docks (sq.ft):</t>
  </si>
  <si>
    <t>VAV</t>
  </si>
  <si>
    <t>Single- or two-speed fan</t>
  </si>
  <si>
    <t>Single-speed fan</t>
  </si>
  <si>
    <t>Audience/seating area - exercise center</t>
  </si>
  <si>
    <t>Audience/seating area - transportation facility</t>
  </si>
  <si>
    <t>Classroom/lecture/training - all other</t>
  </si>
  <si>
    <t>Storage room - hospital</t>
  </si>
  <si>
    <t>Energy Modeling Protocol (select)</t>
  </si>
  <si>
    <t>Section 11 ECB</t>
  </si>
  <si>
    <t>Appendix G PRM</t>
  </si>
  <si>
    <t>5a</t>
  </si>
  <si>
    <t>Energy Related Design Features</t>
  </si>
  <si>
    <t>List energy related features that are included in the design and contribute to the energy savings in Section 5.</t>
  </si>
  <si>
    <t>U-0.57</t>
  </si>
  <si>
    <t>U-1.22</t>
  </si>
  <si>
    <t>Skylights</t>
  </si>
  <si>
    <t>0% - 2.0%</t>
  </si>
  <si>
    <t>2.1%+</t>
  </si>
  <si>
    <t>U-0.69</t>
  </si>
  <si>
    <t>U-1.36</t>
  </si>
  <si>
    <t>U-0.063</t>
  </si>
  <si>
    <t>U-0.218</t>
  </si>
  <si>
    <t>U-0.069</t>
  </si>
  <si>
    <t>F-0.730</t>
  </si>
  <si>
    <t>ERROR</t>
  </si>
  <si>
    <t>Base Site Allowance</t>
  </si>
  <si>
    <t>System 1: PTAC</t>
  </si>
  <si>
    <t>System 3: PSZ-AC</t>
  </si>
  <si>
    <t>System 5: Packaged VAV with Reheat</t>
  </si>
  <si>
    <t>System 7: VAV with reheat</t>
  </si>
  <si>
    <t>System 9: Heating and Ventilation</t>
  </si>
  <si>
    <t>System 12: Single-zone, CV-HW</t>
  </si>
  <si>
    <t>Public Assembly &lt; 120,000 ft2</t>
  </si>
  <si>
    <r>
      <t xml:space="preserve">Public Assembly </t>
    </r>
    <r>
      <rPr>
        <u/>
        <sz val="11"/>
        <color theme="1"/>
        <rFont val="Calibri"/>
        <family val="2"/>
        <scheme val="minor"/>
      </rPr>
      <t>&gt;</t>
    </r>
    <r>
      <rPr>
        <sz val="11"/>
        <color theme="1"/>
        <rFont val="Calibri"/>
        <family val="2"/>
        <scheme val="minor"/>
      </rPr>
      <t xml:space="preserve"> 120,000 ft2</t>
    </r>
  </si>
  <si>
    <t>Nonresidential - 4-5 floors and &lt; 25,000 ft2</t>
  </si>
  <si>
    <t>Nonresidential - &gt; 5 floors or &gt; 150,000 ft2</t>
  </si>
  <si>
    <t>Heated-only storage</t>
  </si>
  <si>
    <r>
      <t xml:space="preserve">Retail - </t>
    </r>
    <r>
      <rPr>
        <u/>
        <sz val="11"/>
        <color theme="1"/>
        <rFont val="Calibri"/>
        <family val="2"/>
        <scheme val="minor"/>
      </rPr>
      <t>&lt;</t>
    </r>
    <r>
      <rPr>
        <sz val="11"/>
        <color theme="1"/>
        <rFont val="Calibri"/>
        <family val="2"/>
        <scheme val="minor"/>
      </rPr>
      <t xml:space="preserve"> 2 floors</t>
    </r>
  </si>
  <si>
    <r>
      <t xml:space="preserve">Nonresidential - </t>
    </r>
    <r>
      <rPr>
        <u/>
        <sz val="11"/>
        <color theme="1"/>
        <rFont val="Calibri"/>
        <family val="2"/>
        <scheme val="minor"/>
      </rPr>
      <t>&lt;</t>
    </r>
    <r>
      <rPr>
        <sz val="11"/>
        <color theme="1"/>
        <rFont val="Calibri"/>
        <family val="2"/>
        <scheme val="minor"/>
      </rPr>
      <t xml:space="preserve"> 5 floors and 25,000 - 150,000 ft2</t>
    </r>
  </si>
  <si>
    <r>
      <t xml:space="preserve">Nonresidential - </t>
    </r>
    <r>
      <rPr>
        <u/>
        <sz val="11"/>
        <color theme="1"/>
        <rFont val="Calibri"/>
        <family val="2"/>
        <scheme val="minor"/>
      </rPr>
      <t>&lt;</t>
    </r>
    <r>
      <rPr>
        <sz val="11"/>
        <color theme="1"/>
        <rFont val="Calibri"/>
        <family val="2"/>
        <scheme val="minor"/>
      </rPr>
      <t xml:space="preserve"> 3 floors and &lt; 25,000 ft2</t>
    </r>
  </si>
  <si>
    <t>System 1: VAV with PFP boxes</t>
  </si>
  <si>
    <t>System 2: VAV with reheat</t>
  </si>
  <si>
    <t>System 3: Packaged VAV with PFP boxes</t>
  </si>
  <si>
    <t>System 4: Packaged VAV with reheat</t>
  </si>
  <si>
    <t>System 5: Two-pipe fan-coil</t>
  </si>
  <si>
    <t>System 6: Water-source HP</t>
  </si>
  <si>
    <t>System 7: Four-pipe fan-coil</t>
  </si>
  <si>
    <t>System 8: PTHP</t>
  </si>
  <si>
    <t>System 9: Packaged rooftop HP</t>
  </si>
  <si>
    <t>System 10: PTAC</t>
  </si>
  <si>
    <t>System 11: Packaged rooftop AC</t>
  </si>
  <si>
    <t>Grocery Store</t>
  </si>
  <si>
    <t>Healthcare (hospital)</t>
  </si>
  <si>
    <t>Hotel/motel (&lt; 75 rooms)</t>
  </si>
  <si>
    <t>Hotel/motel (&gt; 75 rooms)</t>
  </si>
  <si>
    <t>Office (&lt; 5000 ft2)</t>
  </si>
  <si>
    <t>Office (5000 - 50,000 ft2)</t>
  </si>
  <si>
    <t>Office (&gt; 50,000 ft2)</t>
  </si>
  <si>
    <t>Restaurant (quick service)</t>
  </si>
  <si>
    <t>Restaurant (full service)</t>
  </si>
  <si>
    <t>Retail (Stand alone)</t>
  </si>
  <si>
    <t>Retail ( strip mall)</t>
  </si>
  <si>
    <t>School (primary)</t>
  </si>
  <si>
    <t>School (secondary and university)</t>
  </si>
  <si>
    <t>Warehouse (nonrefrigerated)</t>
  </si>
  <si>
    <t>Other</t>
  </si>
  <si>
    <t>Gas Storage Water Heater</t>
  </si>
  <si>
    <t>All Others</t>
  </si>
  <si>
    <t>Electric Resistance Storage Water Heater</t>
  </si>
  <si>
    <t>Hour of Day (Time)</t>
  </si>
  <si>
    <t>Schedule for Occupancy</t>
  </si>
  <si>
    <t>Percent of Maximum  Load</t>
  </si>
  <si>
    <t>Wk</t>
  </si>
  <si>
    <t>Sat</t>
  </si>
  <si>
    <t>Sun</t>
  </si>
  <si>
    <t>Schedule for Lighting/Receptacle</t>
  </si>
  <si>
    <t>Schedule for HVAC System</t>
  </si>
  <si>
    <t>Schedule for Service Hot Water</t>
  </si>
  <si>
    <t>Schedule for Elevator</t>
  </si>
  <si>
    <t>1 (12-1am)</t>
  </si>
  <si>
    <t>2 (1-2am)</t>
  </si>
  <si>
    <t>3 (2-3am)</t>
  </si>
  <si>
    <t>4 (3-4am)</t>
  </si>
  <si>
    <t>5 (4-5am)</t>
  </si>
  <si>
    <t>6 (5-6am)</t>
  </si>
  <si>
    <t>7 (6-7am)</t>
  </si>
  <si>
    <t>8 (7-8am)</t>
  </si>
  <si>
    <t>9 (8-9am)</t>
  </si>
  <si>
    <t>10 (9-10am)</t>
  </si>
  <si>
    <t>11 (10-11am)</t>
  </si>
  <si>
    <t>12 (11-12pm)</t>
  </si>
  <si>
    <t>13 (12-1pm)</t>
  </si>
  <si>
    <t>14 (1-2pm)</t>
  </si>
  <si>
    <t>15 (2-3pm)</t>
  </si>
  <si>
    <t>16 (3-4pm)</t>
  </si>
  <si>
    <t>17 (4-5pm)</t>
  </si>
  <si>
    <t>18 (5-6pm)</t>
  </si>
  <si>
    <t>19 (6-7pm)</t>
  </si>
  <si>
    <t>20 (7-8pm)</t>
  </si>
  <si>
    <t>21 (8-9pm)</t>
  </si>
  <si>
    <t>22 (9-10pm)</t>
  </si>
  <si>
    <t>23 (10-11pm)</t>
  </si>
  <si>
    <t>24 (11-12am)</t>
  </si>
  <si>
    <t>35/40</t>
  </si>
  <si>
    <t>65/75</t>
  </si>
  <si>
    <t>40/50</t>
  </si>
  <si>
    <t>55/65</t>
  </si>
  <si>
    <t>Off</t>
  </si>
  <si>
    <t>On</t>
  </si>
  <si>
    <t>Total/Day</t>
  </si>
  <si>
    <t>Total/Week</t>
  </si>
  <si>
    <t>Total/Year</t>
  </si>
  <si>
    <t>1010/1155</t>
  </si>
  <si>
    <t>660/800</t>
  </si>
  <si>
    <t>745/845</t>
  </si>
  <si>
    <t>65/95</t>
  </si>
  <si>
    <t>55/80</t>
  </si>
  <si>
    <t>35/50</t>
  </si>
  <si>
    <t>800/1040</t>
  </si>
  <si>
    <t>44.00/56.00</t>
  </si>
  <si>
    <t>2288/2920</t>
  </si>
  <si>
    <t>64.55/74.2</t>
  </si>
  <si>
    <t>3357/3869</t>
  </si>
  <si>
    <t>55/60</t>
  </si>
  <si>
    <t>1060/1155</t>
  </si>
  <si>
    <t>85/90</t>
  </si>
  <si>
    <t>940/985</t>
  </si>
  <si>
    <t>500/525</t>
  </si>
  <si>
    <t>67.40/70.85</t>
  </si>
  <si>
    <t>3505/3694</t>
  </si>
  <si>
    <t>Daily Thermostat Schedule</t>
  </si>
  <si>
    <t>Cooling</t>
  </si>
  <si>
    <t>Heating</t>
  </si>
  <si>
    <t>COST SAVINGS</t>
  </si>
  <si>
    <t>COMPLIES?</t>
  </si>
  <si>
    <t>ES-D</t>
  </si>
  <si>
    <t>Gas/Steam Usage (Therm)</t>
  </si>
  <si>
    <t>Energy Savings Per End Use (%)</t>
  </si>
  <si>
    <t>Cost Savings per End Use (%)</t>
  </si>
  <si>
    <t>BEPU</t>
  </si>
  <si>
    <t xml:space="preserve">6a </t>
  </si>
  <si>
    <t>LV-D</t>
  </si>
  <si>
    <t>Do not edit:  error</t>
  </si>
  <si>
    <t>6b</t>
  </si>
  <si>
    <t>LV-D, LV-H</t>
  </si>
  <si>
    <t>6c</t>
  </si>
  <si>
    <t>LV-B</t>
  </si>
  <si>
    <t>Multifamily Dwelling Unit</t>
  </si>
  <si>
    <t>6e</t>
  </si>
  <si>
    <t>PS-E</t>
  </si>
  <si>
    <t>6g</t>
  </si>
  <si>
    <t>PV-A</t>
  </si>
  <si>
    <t>4a</t>
  </si>
  <si>
    <t xml:space="preserve">Baseline Rotations </t>
  </si>
  <si>
    <t>0'</t>
  </si>
  <si>
    <t>90'</t>
  </si>
  <si>
    <t>180'</t>
  </si>
  <si>
    <t>270'</t>
  </si>
  <si>
    <t>Average of 4 rotations</t>
  </si>
  <si>
    <t>Annual usage (kwh/therm)</t>
  </si>
  <si>
    <t>kwh</t>
  </si>
  <si>
    <t>therm</t>
  </si>
  <si>
    <t>Annual cost ($)</t>
  </si>
  <si>
    <r>
      <rPr>
        <b/>
        <sz val="11"/>
        <color theme="1"/>
        <rFont val="Calibri"/>
        <family val="2"/>
        <scheme val="minor"/>
      </rPr>
      <t>INSTRUCTIONS:</t>
    </r>
    <r>
      <rPr>
        <sz val="11"/>
        <color theme="1"/>
        <rFont val="Calibri"/>
        <family val="2"/>
        <scheme val="minor"/>
      </rPr>
      <t xml:space="preserve">  If the modeling parameters call for averaging 4 rotations, enter the data into each of the white columns.  If the modeling protocol does not require averaging the 4 rotations, enter the data into only the column labeled "0'" (do not enter '0' into the columns labeled 90, 180, 270).</t>
    </r>
  </si>
  <si>
    <t xml:space="preserve">            Must be typewritten</t>
  </si>
  <si>
    <t>Location Information</t>
  </si>
  <si>
    <t>House No(s)</t>
  </si>
  <si>
    <t>Street Name</t>
  </si>
  <si>
    <t>Borough</t>
  </si>
  <si>
    <t>Block</t>
  </si>
  <si>
    <t>Lot</t>
  </si>
  <si>
    <t>BIN</t>
  </si>
  <si>
    <t>CB No.</t>
  </si>
  <si>
    <t>Work on Floor(s)</t>
  </si>
  <si>
    <t>Apt/Condos No(s)</t>
  </si>
  <si>
    <t>Applicant Information</t>
  </si>
  <si>
    <t>Last Name</t>
  </si>
  <si>
    <t>First Name</t>
  </si>
  <si>
    <t>Middle Initial</t>
  </si>
  <si>
    <t>Business Name</t>
  </si>
  <si>
    <t>Business Telephone</t>
  </si>
  <si>
    <t>Business Address</t>
  </si>
  <si>
    <t>Business Fax</t>
  </si>
  <si>
    <t xml:space="preserve">City  </t>
  </si>
  <si>
    <t>State</t>
  </si>
  <si>
    <t xml:space="preserve">Zip  </t>
  </si>
  <si>
    <t xml:space="preserve">Mobile Telephone  </t>
  </si>
  <si>
    <t xml:space="preserve">Email </t>
  </si>
  <si>
    <t>License Number</t>
  </si>
  <si>
    <t>Energy Modeling Information</t>
  </si>
  <si>
    <t>Weather File</t>
  </si>
  <si>
    <t>Baseline Unmet Load Hours</t>
  </si>
  <si>
    <t>Baseline Site EUI (kBTU/SF)</t>
  </si>
  <si>
    <t>Modeling Software &amp; version</t>
  </si>
  <si>
    <t>Conditioned SQFT</t>
  </si>
  <si>
    <t>Modeled Square Feet</t>
  </si>
  <si>
    <t>Proposed Unmet Load Hours</t>
  </si>
  <si>
    <t>Proposed Site EUI (kBtu/sf)</t>
  </si>
  <si>
    <t>Enter information for sections 1, 2 and 3 - incorporate in the drawing set.</t>
  </si>
  <si>
    <t>Reduced lighting power density</t>
  </si>
  <si>
    <t>Condensing boilers operate at minimum 89% average efficiency</t>
  </si>
  <si>
    <t>Air-cooled chiller with superior part load</t>
  </si>
  <si>
    <t>Office - Enclosed and &lt; 250 sqft</t>
  </si>
  <si>
    <t>U-0.40</t>
  </si>
  <si>
    <t>Metal framing (Curtainwall/Storefront)</t>
  </si>
  <si>
    <t>Metal framing (all other)</t>
  </si>
  <si>
    <t>U-0.55</t>
  </si>
  <si>
    <t>U-0.85</t>
  </si>
  <si>
    <t>U-0.048</t>
  </si>
  <si>
    <t>U-0.087</t>
  </si>
  <si>
    <t>F-0.860</t>
  </si>
  <si>
    <t>U-0.7</t>
  </si>
  <si>
    <t>U-1.500</t>
  </si>
  <si>
    <t>System 6: Packaged VAV with PFP Boxes</t>
  </si>
  <si>
    <t>System 8: VAV with PFP Boxes</t>
  </si>
  <si>
    <t>System 4: PSZ-HP</t>
  </si>
  <si>
    <t>System 10: Heating and Ventilation (elec)</t>
  </si>
  <si>
    <t>GSG Baseline
ASHRAE 90.1-2010</t>
  </si>
  <si>
    <t>Energy Savings Per End Use (%) vs GSG</t>
  </si>
  <si>
    <t>Submission</t>
  </si>
  <si>
    <t>Date</t>
  </si>
  <si>
    <t>GSG Baseline</t>
  </si>
  <si>
    <t>GSG Version</t>
  </si>
  <si>
    <t>Drawing Set</t>
  </si>
  <si>
    <t>GSG Baseline Unmet Load Hours</t>
  </si>
  <si>
    <t>GSG Results</t>
  </si>
  <si>
    <t>Proposed Regulated Cost</t>
  </si>
  <si>
    <t>Proposed Total Cost</t>
  </si>
  <si>
    <t>Regulated Cost Savings</t>
  </si>
  <si>
    <t>Total Cost Savings</t>
  </si>
  <si>
    <t>Proposed Site EUI</t>
  </si>
  <si>
    <t>Site EUI Savings</t>
  </si>
  <si>
    <t>Proposed Source EUI</t>
  </si>
  <si>
    <t>Source EUI Savings</t>
  </si>
  <si>
    <t>GSG Compliant?</t>
  </si>
  <si>
    <t>Optimize Energy Points</t>
  </si>
  <si>
    <t>GSG Baseline Total Cost</t>
  </si>
  <si>
    <t>GSG Baseline Site EUI</t>
  </si>
  <si>
    <t>GSG Source EUI</t>
  </si>
  <si>
    <t>ASHRAE 90.1-2013 ECB</t>
  </si>
  <si>
    <t>ASHRAE 90.1-2016 ECB</t>
  </si>
  <si>
    <t>ASHRAE 90.1-2010 PRM</t>
  </si>
  <si>
    <t>2009 Rating System</t>
  </si>
  <si>
    <t>2016 Rating System</t>
  </si>
  <si>
    <t>Baseline Information</t>
  </si>
  <si>
    <t>School Information</t>
  </si>
  <si>
    <t>School Name</t>
  </si>
  <si>
    <t>Address</t>
  </si>
  <si>
    <t>Total Modeled Square Feet</t>
  </si>
  <si>
    <t>Area of plenums/ dummy zones</t>
  </si>
  <si>
    <t>Unconditioned Area</t>
  </si>
  <si>
    <t>Nonresidential - &lt; 5 floors and 25,000 - 150,000 ft2</t>
  </si>
  <si>
    <t>HVAC System / Group
GSG Baseline
ASHRAE 90.1-2010</t>
  </si>
  <si>
    <t>System Type</t>
  </si>
  <si>
    <t>Pressure Drop Adjustments</t>
  </si>
  <si>
    <t>in w.c.</t>
  </si>
  <si>
    <t>Fully Ducted Return</t>
  </si>
  <si>
    <t>Filters: MERV 13-15</t>
  </si>
  <si>
    <t>Heat Recovery Device</t>
  </si>
  <si>
    <t>Sound Attenuation Section</t>
  </si>
  <si>
    <t>Source EUI</t>
  </si>
  <si>
    <t>Factor</t>
  </si>
  <si>
    <t>Electricity</t>
  </si>
  <si>
    <t>Natural Gas</t>
  </si>
  <si>
    <t>Net Modeled Area</t>
  </si>
  <si>
    <t>% Renovation</t>
  </si>
  <si>
    <t>New construction %</t>
  </si>
  <si>
    <t>Renovation %</t>
  </si>
  <si>
    <t>Weighted</t>
  </si>
  <si>
    <t>LEED Points</t>
  </si>
  <si>
    <t>Not Compliant</t>
  </si>
  <si>
    <t>Equipment Included (per Mechanical Schedules)</t>
  </si>
  <si>
    <t>GSG Baseline Chiller</t>
  </si>
  <si>
    <t>0- Building area &lt; 150,000</t>
  </si>
  <si>
    <t>1,2,3 Information</t>
  </si>
  <si>
    <t>4. Purchased Energy Rates</t>
  </si>
  <si>
    <t>Complete the tabs from the standard EN-1 form.  The ASHRAE 90.1-2013 ECB baseline should be used for the baseline case</t>
  </si>
  <si>
    <t>5. Usage Summary</t>
  </si>
  <si>
    <t>6a. Ext. Wall Areas</t>
  </si>
  <si>
    <t>6c. Wall Types</t>
  </si>
  <si>
    <t>6d. Interior LPD- Space Method (do not complete Bldg Method worksheet)</t>
  </si>
  <si>
    <t>6e. Ext LPD, 6f. Process Equip.</t>
  </si>
  <si>
    <t>Ext LPD Calculator</t>
  </si>
  <si>
    <t>6g. Service HW</t>
  </si>
  <si>
    <t>6l. HVAC Water-side HW &amp; Steam</t>
  </si>
  <si>
    <t>Complete the SCA Tabs</t>
  </si>
  <si>
    <t>User edit</t>
  </si>
  <si>
    <t>GSG Baseline Model</t>
  </si>
  <si>
    <t>Most of the information is linked to the EN-1 form.  The information for the GSG baseline needs to be input in the SCA-specific tabs.</t>
  </si>
  <si>
    <t>Do not edit:  information from EN-1</t>
  </si>
  <si>
    <t>Print the Teal SCA Tabs and include in the printed submission.</t>
  </si>
  <si>
    <t>Standard SCA Mass Wall</t>
  </si>
  <si>
    <t>Standard SCA Roof</t>
  </si>
  <si>
    <t>Standard SCA Below Grade Wall</t>
  </si>
  <si>
    <t>Standard Door</t>
  </si>
  <si>
    <t>LV-I</t>
  </si>
  <si>
    <t>WAS</t>
  </si>
  <si>
    <t>COMPUTER CLASSROOM IS</t>
  </si>
  <si>
    <t>LEFT AS-IS (PDF DIDN'T SPECIFY ENCLOSED OR OPEN)</t>
  </si>
  <si>
    <t>Air cooled w/ 30% propylene 
glycol solution in primary loop</t>
  </si>
  <si>
    <t>kW/ton</t>
  </si>
  <si>
    <t>Demand Reset</t>
  </si>
  <si>
    <t xml:space="preserve">Modulating Condensing w/ 30% propylene glycol solution in primary loop </t>
  </si>
  <si>
    <t>Gas Fired, Hot Water</t>
  </si>
  <si>
    <t>93% (@RWT=120°F)
86% (@RWT=140°F)</t>
  </si>
  <si>
    <t>kBTU</t>
  </si>
  <si>
    <t>Outdoor air – return water temp reset</t>
  </si>
  <si>
    <t>RWT=140°F @ OAT≤20°F
RWT=120 °F @ OAT≥50°F</t>
  </si>
  <si>
    <t>Outdoor air – supply water temp reset</t>
  </si>
  <si>
    <t>SWT=180°F @ OAT≤20°F
SWT=150 °F @ OAT≥50°F</t>
  </si>
  <si>
    <t>Primary Only</t>
  </si>
  <si>
    <t>W/GPM</t>
  </si>
  <si>
    <t>6j. HVAC Water-side CHW (proposed design only)</t>
  </si>
  <si>
    <t>Based on 50% efficiency for 1 stream.  Enter cfm for supply + exhaust through ERV</t>
  </si>
  <si>
    <t>Additional Air-side tabs may need to be created, based on the design.</t>
  </si>
  <si>
    <t>Proposed Carbon (Ton CO2e)</t>
  </si>
  <si>
    <t>Proposed Carbon (Ton CO2e/ft2)</t>
  </si>
  <si>
    <t>Carbon Factors (2024-2029 1253-C)</t>
  </si>
  <si>
    <t>Electric Grid</t>
  </si>
  <si>
    <r>
      <t>tCO</t>
    </r>
    <r>
      <rPr>
        <vertAlign val="subscript"/>
        <sz val="11"/>
        <color theme="1"/>
        <rFont val="Calibri"/>
        <family val="2"/>
        <scheme val="minor"/>
      </rPr>
      <t>2e</t>
    </r>
    <r>
      <rPr>
        <sz val="11"/>
        <color theme="1"/>
        <rFont val="Calibri"/>
        <family val="2"/>
        <scheme val="minor"/>
      </rPr>
      <t>/MMBtu</t>
    </r>
  </si>
  <si>
    <t>Natural Gas Carbon Factor</t>
  </si>
  <si>
    <t>Fuel Oil #2 Carbon Factor</t>
  </si>
  <si>
    <t>Fuel Oil #4 Carbon Factor</t>
  </si>
  <si>
    <t>Fuel Oil #5 Carbon Factor</t>
  </si>
  <si>
    <t>Fuel Oil #6 Carbon Factor</t>
  </si>
  <si>
    <t>District Steam Carbon Factor</t>
  </si>
  <si>
    <t>Carbon emissions (TonCO2e) in "SCA Exec Summary", Cell C43, will need to be manually calculated for buildings purchasing utilities other than natural gas and electricity (steam, fuel oil, etc)</t>
  </si>
  <si>
    <t>Template Used</t>
  </si>
  <si>
    <t>Medium</t>
  </si>
  <si>
    <t>Large</t>
  </si>
  <si>
    <t>eQuest Model Review Checklist</t>
  </si>
  <si>
    <t>Yes/No</t>
  </si>
  <si>
    <t>General information</t>
  </si>
  <si>
    <t>BEPU report information</t>
  </si>
  <si>
    <t>Is the "Pumps and Aux" EFLH consistent with the design? i.e. total pump EFLH should be roughly equal to the sum of respective plant EFLH for plants with pumps.</t>
  </si>
  <si>
    <t xml:space="preserve">Describe any changes between this submission and the previous submission:                                                                                                                                  </t>
  </si>
  <si>
    <t xml:space="preserve">Describe deviations from the SCA Standard Details (Including SCA approved ECMs) </t>
  </si>
  <si>
    <t>ES-D report information</t>
  </si>
  <si>
    <t>LV-B report information</t>
  </si>
  <si>
    <t>Are the equipment power densities consistent with the input summary?</t>
  </si>
  <si>
    <t>LV-D report information</t>
  </si>
  <si>
    <t>Is the "Window Area" divided by the "Window+Wall Area" for the "All Walls" line consistent with the report window to wall ratio?</t>
  </si>
  <si>
    <t>Is the roof area consistent with the footprint of the building?</t>
  </si>
  <si>
    <t>Select a few representative wall definitions, are their U-values consistent with report values?                                                                                                                                          Note:
The LV-D and LV-I reports calculations are not consistent with the protocol established by ASHRAE 90.1 Appendix A.  The interior air film coefficient default does not account for the orientation of the construction.  The LV-I U-value calculation does not consider the exterior air film, and the LV-D U-value calculation uses a different value than specified by ASHRAE 90.1 Appendix A.  During the simulation, eQuest calculates the exterior air film hourly based on the wind speed from the weather file.</t>
  </si>
  <si>
    <t xml:space="preserve">Select a few representative window definitions, are their U-values consistent with report values?                                                                                                                                           Note:
The window U-values include an exterior film with R-value = 0.3.  NFRC uses 0.17 to calculate the U-factor.  The U-value from the LV-D report will be 3-5% lower than reported value.    </t>
  </si>
  <si>
    <t>LV-H report information</t>
  </si>
  <si>
    <t>Is the weighted average U-value consistent with the report values for frame and glass U-values?</t>
  </si>
  <si>
    <t xml:space="preserve">Is a "setback" modeled? If yes, is it consistent with the design? No setback should be modeled in the baseline condition for new construction projects. </t>
  </si>
  <si>
    <t>LV-I report information</t>
  </si>
  <si>
    <t>Are "Delayed" surface types used for exterior wall and roof construction definitions? If no, explain where building massing is being accounted for in the model.</t>
  </si>
  <si>
    <t xml:space="preserve">Are the "Number of Response Factors" consistent with report mass vs. framed construction? </t>
  </si>
  <si>
    <t>SV-A report information</t>
  </si>
  <si>
    <t>Is there one system per floor for the GSG baseline, with the exception of the public assembly spaces and 24hr data rooms?</t>
  </si>
  <si>
    <t>Are "Capacity (CFM)" and "Power Demand" consistent with the report?</t>
  </si>
  <si>
    <t>Is the "Outside Air Ratio" consistent with the ratio calculated using the report values?</t>
  </si>
  <si>
    <t>Is the "Outside Air Ratio" lower than the "Minimum Flow"? If no, correct this. Note: eQuest has a known bug where the software will not reset minimum flow up to the outside air ratio.</t>
  </si>
  <si>
    <t xml:space="preserve">Are there "Baseboards" defined in the Proposed system? Is this consistent with the report? No baseboards should be defined in the baseline systems. </t>
  </si>
  <si>
    <t>PV-A report information</t>
  </si>
  <si>
    <t>Are "Capacity Control" values consistent with the report? Note: If a loop is served by more than 1 pump, the variable speed pumps will be reported as "VFD &amp; STAGED"</t>
  </si>
  <si>
    <t>PS-E report information</t>
  </si>
  <si>
    <t>Do "Task Lighting", "Misc Equip", "Domest Hot Wtr", and "Ext Usage" all have the same Max kW for all months? If not, is this explained?</t>
  </si>
  <si>
    <t xml:space="preserve">If daylighting is specified, does "lights" Max kW have a minimum in the summer and maximum in the winter? Note: if daylighting is claimed but not modeled the lighting use will only be determined by the schedule and the peak will not vary. The peak vaires becaue of the change in solar angle from summer to winter. The use varies also because the number of hours of daylight changes as well. When daylighting is modeled, the EFLH will not match the schedule. </t>
  </si>
  <si>
    <t xml:space="preserve">Is "Space Heating" zero for june to sept? If not, is it explained in the report? Is there reheat specified? </t>
  </si>
  <si>
    <t xml:space="preserve">Is "space cooling" minimal in the winter? Are these values consistent with the data room equipment sizes? Note: peaks in winter should be equal to the power input of data or EMR dedicated units. </t>
  </si>
  <si>
    <t>Supporting Documentation (if needed)</t>
  </si>
  <si>
    <t>Has an SV-A report been provided for all systems referenced in the report?</t>
  </si>
  <si>
    <t>N/A</t>
  </si>
  <si>
    <t>Is "Task Lighting" the same between baselines and proposed cases? If no, fix or provide supporting documentation.</t>
  </si>
  <si>
    <t xml:space="preserve">Is the "Weather file" consistent with the building location. </t>
  </si>
  <si>
    <t>Is “Percent of hours any plant load not satisfied” 0%?  If no, fix or provide supporting documentation.</t>
  </si>
  <si>
    <t xml:space="preserve">Do the utility costs match the values in the report? </t>
  </si>
  <si>
    <t>LL32 Baseline
ASHRAE 90.1-2013 ECB</t>
  </si>
  <si>
    <t>Energy Savings Per End Use (%) vs LL32</t>
  </si>
  <si>
    <t>LL32 Baseline</t>
  </si>
  <si>
    <t>LL32 Baseline Unmet Load Hours</t>
  </si>
  <si>
    <t>LL32 Results</t>
  </si>
  <si>
    <t>LL32 Baseline Regulated Cost</t>
  </si>
  <si>
    <t>LL32  Baseline Total Cost</t>
  </si>
  <si>
    <t>LL32 Baseline Site EUI</t>
  </si>
  <si>
    <t>LL32 Source EUI</t>
  </si>
  <si>
    <t>LL32 Compliant?</t>
  </si>
  <si>
    <t>Is there 1-1 correspondence in the number of systems between the LL32 baseline and proposed design?</t>
  </si>
  <si>
    <t>Does pump "Head" match between proposed and LL32 baseline?</t>
  </si>
  <si>
    <t>HVAC System / Group
LL32 Baseline
ASHRAE 90.1-2013 ECB</t>
  </si>
  <si>
    <t xml:space="preserve">Are U-Values within the acceptable range of the reported values? Note: Compare U-values reported in the LV-D report to those in the LV-I report. The LV-I report values will be higher, with variation depending on the thermal properties of the wall. LV-I values may vary from LV-D report as follows                                                                  LV-D U-value        -              LV-I Deviation                                                                                         &lt;0.07                      -               &lt;5% higher                                                                                                         0.07 - 0.13             -               5-10% higher                                                                                            0.13 - 0.17             -               10-15% higher                                                                                                0.17 - 0.20             -               15-20% higher          </t>
  </si>
  <si>
    <t>Is the split between electricity and natural gas "Space Heating" consistent with the design and report documentation?</t>
  </si>
  <si>
    <t>The sum of the hours above cooling throttling range and heating throttling is above 300.  Please correct.</t>
  </si>
  <si>
    <t>Is the "Glass Shading Coeff" and "Glass Visible Trans" consistent with the report and design values?</t>
  </si>
  <si>
    <t>Is the "rated capacity" of proposed equiment consistent with the report and design values?</t>
  </si>
  <si>
    <t>The GSG baseline does not show Zero electric use for heating.  Electric heating should only happen under special circumstances.  Please correct or provide an explanation.</t>
  </si>
  <si>
    <t>Automatic Checks</t>
  </si>
  <si>
    <t>Explanation, if required</t>
  </si>
  <si>
    <t>Does the project area include a kitchen?</t>
  </si>
  <si>
    <t>Response</t>
  </si>
  <si>
    <t>Calculate the GSG baseline "Power"/"Flow" for secondary and primary pumps. Does this value add up to 19 W/gpm for heating, 22 W/gpm for cooling, and 19 W/gpm for the condenser loop?  Chilled and condenser water loops should be present in schools &gt;150,000 ft2 only.</t>
  </si>
  <si>
    <t>Are the lighting power densities consistent with the report/photometric drawing/code requirements? Have lighting schedules been assigned that reflect mandatory controls (template defaults should be sufficient)?</t>
  </si>
  <si>
    <t>Verify the kitchen type (full gas, full electric, or warming) been modeled per the proposed design and the kitchen loads reflect the number of students in the POR.</t>
  </si>
  <si>
    <t>Verify the occupancy and ventilation requirements in the classrooms been updated to match the POR.</t>
  </si>
  <si>
    <t>Is the net modeled project area within 3% of the design area?</t>
  </si>
  <si>
    <t>eQuest Model Review Checklist- Output Report Verification</t>
  </si>
  <si>
    <t>Is the split between electricity and natural gas "Domest Hot Wtr" consistent with the DHW system design?</t>
  </si>
  <si>
    <t>Complete the General Checklist and the Output Report Checklist</t>
  </si>
  <si>
    <t>The Misc Equipment is not the same in baseline and proposed designs.  Please correct or provide an explanation.</t>
  </si>
  <si>
    <t>The total amount of hours the design is out of range (heating + cooling) differs from the GSG baseline by more than 50 hours.  Please correct or provide an explanation.</t>
  </si>
  <si>
    <t>6i. HVAC Air-side (complete 1 spreadsheet for each system type, add tabs as needed)</t>
  </si>
  <si>
    <t>The "Ext Usage" EFLH is more than 4,500 per the report design value. Exterior lighting is only to be run during dark hours, even worst cases should not exceed this value.   Please correct or provide an explanation.</t>
  </si>
  <si>
    <t>2019 Rating System</t>
  </si>
  <si>
    <t xml:space="preserve"> </t>
  </si>
  <si>
    <t>Building Type</t>
  </si>
  <si>
    <t>Number of Stories</t>
  </si>
  <si>
    <t>Window/Wall Ratio</t>
  </si>
  <si>
    <t>LL32 Regulated Electric Cost</t>
  </si>
  <si>
    <t>LL32 Regulated Gas Cost</t>
  </si>
  <si>
    <t>LL32 Unregulated Electic Cost</t>
  </si>
  <si>
    <t>LL32 Unregulated Gas Cost</t>
  </si>
  <si>
    <t>Proposed Regulated Electric Cost</t>
  </si>
  <si>
    <t>Proposed Regulated Gas Cost</t>
  </si>
  <si>
    <t>GSG Baseline Electric Cost</t>
  </si>
  <si>
    <t>GSG Baseline Gas Cost</t>
  </si>
  <si>
    <t>Proposed Electric Cost</t>
  </si>
  <si>
    <t>Proposed Gas Cost</t>
  </si>
  <si>
    <t>Include any ECM's that are not part of the SCA standard design requirements</t>
  </si>
  <si>
    <t>Utility Rates</t>
  </si>
  <si>
    <t>Average Electricity Cost  ($/kWh)</t>
  </si>
  <si>
    <t>Average Gas Cost  ($/Therm)</t>
  </si>
  <si>
    <t>Is "Heat Rejection" zero ?  If no, provide an explanation.  Heat rejection should only be more than zero for water-cooled units (GSG Baseline &gt; 150,000 ft2 and designs that deviate from the standard)</t>
  </si>
  <si>
    <t>Energy Efficiency Measure Summary</t>
  </si>
  <si>
    <t>kWh</t>
  </si>
  <si>
    <t>Cost</t>
  </si>
  <si>
    <t>Therms</t>
  </si>
  <si>
    <t>Description of Measure</t>
  </si>
  <si>
    <t>Total Cost</t>
  </si>
  <si>
    <t>Source Energy Use</t>
  </si>
  <si>
    <t>Total (kBtu)</t>
  </si>
  <si>
    <t>EUI (kBtu/ft2)</t>
  </si>
  <si>
    <t>Measure #</t>
  </si>
  <si>
    <r>
      <t>Note: Only required for measures that are</t>
    </r>
    <r>
      <rPr>
        <b/>
        <sz val="11"/>
        <color theme="1"/>
        <rFont val="Calibri"/>
        <family val="2"/>
        <scheme val="minor"/>
      </rPr>
      <t xml:space="preserve"> NOT</t>
    </r>
    <r>
      <rPr>
        <sz val="11"/>
        <color theme="1"/>
        <rFont val="Calibri"/>
        <family val="2"/>
        <scheme val="minor"/>
      </rPr>
      <t xml:space="preserve"> included in proposed design</t>
    </r>
  </si>
  <si>
    <t>The SCA ECM Summary tab only needs to be completed if additional measures, which are not included in the proposed design, have been modeled for evaluation.  If no measures have been modeled, this tab does not need to be completed.</t>
  </si>
  <si>
    <t>Have additional measures been included for evaluation that are not part of the proposed design?</t>
  </si>
  <si>
    <t>DES Electric</t>
  </si>
  <si>
    <t>DES Gas</t>
  </si>
  <si>
    <t>LL32 Baseline (Watts)</t>
  </si>
  <si>
    <t>GSG Baseline (Watts)</t>
  </si>
  <si>
    <t>Proposed Design
Equipment Power Density (W/SF)</t>
  </si>
  <si>
    <t>LL32 Baseline Design
Equipment Power Density (W/SF)</t>
  </si>
  <si>
    <t>GSG Baseline Design
Equipment Power Density (W/SF)</t>
  </si>
  <si>
    <t>Kitchen Equipment</t>
  </si>
  <si>
    <t>Population Served by Kitchen</t>
  </si>
  <si>
    <t>Kitchen Type</t>
  </si>
  <si>
    <t>Cooking Fuel</t>
  </si>
  <si>
    <t>Total Kitchen Plug Load</t>
  </si>
  <si>
    <t>Kitchen Plug Load Schedule</t>
  </si>
  <si>
    <t>Total Kitchen Source Load</t>
  </si>
  <si>
    <t>Source Load Schedule</t>
  </si>
  <si>
    <t>Kitchen Equipmnt</t>
  </si>
  <si>
    <t>Full Kitchen</t>
  </si>
  <si>
    <t>Warming Kitchen</t>
  </si>
  <si>
    <t>401-KIT-SRC-G-YR</t>
  </si>
  <si>
    <t>501-KIT-SRC-G-YR</t>
  </si>
  <si>
    <t>1K-KIT-SRC-G-YR</t>
  </si>
  <si>
    <t>401-KIT-SRC-E-YR</t>
  </si>
  <si>
    <t>501-KIT-SRC-E-YR</t>
  </si>
  <si>
    <t>1K-KIT-SRC-E-YR</t>
  </si>
  <si>
    <t>101-WKIT-EQP-YR</t>
  </si>
  <si>
    <t>301-WKIT-EQP-YR</t>
  </si>
  <si>
    <t>401-KIT-EQP-YR</t>
  </si>
  <si>
    <t>501-KIT-EQP-YR</t>
  </si>
  <si>
    <t>701-KIT-EQP-YR</t>
  </si>
  <si>
    <t>901-KIT-EQP-YR</t>
  </si>
  <si>
    <t>1K-KIT-EQP-YR</t>
  </si>
  <si>
    <t>Kitchen Check</t>
  </si>
  <si>
    <t>Population</t>
  </si>
  <si>
    <t>Equipment kW</t>
  </si>
  <si>
    <t>Equipment Sch</t>
  </si>
  <si>
    <t>Gas Source</t>
  </si>
  <si>
    <t>Electric Source</t>
  </si>
  <si>
    <t>Elec Source Sch</t>
  </si>
  <si>
    <t>Gas Source Sch</t>
  </si>
  <si>
    <t>Expected Value</t>
  </si>
  <si>
    <r>
      <rPr>
        <b/>
        <sz val="11"/>
        <color theme="1"/>
        <rFont val="Calibri"/>
        <family val="2"/>
        <scheme val="minor"/>
      </rPr>
      <t>INSTRUCTIONS:</t>
    </r>
    <r>
      <rPr>
        <sz val="11"/>
        <color theme="1"/>
        <rFont val="Calibri"/>
        <family val="2"/>
        <scheme val="minor"/>
      </rPr>
      <t xml:space="preserve">  If the modeling parameters call for averaging 4 rotations, enter the data into each of the white columns.  If the modeling protocol does not require averaging the 4 rotations, enter the data into only the column labeled "0'" (do not enter '0' into the columns labeled 90, 180, 270). This section is for use with ASHRAE 90.1-2010 Appendix 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</si>
</sst>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quot;$&quot;#,##0.00"/>
    <numFmt numFmtId="167" formatCode="_(&quot;$&quot;* #,##0_);_(&quot;$&quot;* \(#,##0\);_(&quot;$&quot;* &quot;-&quot;??_);_(@_)"/>
    <numFmt numFmtId="168" formatCode="0.0%"/>
    <numFmt numFmtId="169" formatCode="0.00000"/>
    <numFmt numFmtId="170" formatCode="_(* #,##0.000000_);_(* \(#,##0.000000\);_(* &quot;-&quot;??_);_(@_)"/>
  </numFmts>
  <fonts count="40" x14ac:knownFonts="1">
    <font>
      <sz val="11"/>
      <color theme="1"/>
      <name val="Calibri"/>
      <family val="2"/>
      <scheme val="minor"/>
    </font>
    <font>
      <sz val="9"/>
      <color theme="1"/>
      <name val="Calibri"/>
      <family val="2"/>
      <scheme val="minor"/>
    </font>
    <font>
      <sz val="8"/>
      <color theme="1"/>
      <name val="Calibri"/>
      <family val="2"/>
      <scheme val="minor"/>
    </font>
    <font>
      <sz val="10"/>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sz val="8"/>
      <color rgb="FF000000"/>
      <name val="Arial"/>
      <family val="2"/>
    </font>
    <font>
      <sz val="8"/>
      <color rgb="FF000000"/>
      <name val="Calibri"/>
      <family val="2"/>
      <scheme val="minor"/>
    </font>
    <font>
      <b/>
      <sz val="10"/>
      <name val="Calibri"/>
      <family val="2"/>
      <scheme val="minor"/>
    </font>
    <font>
      <sz val="10"/>
      <name val="Arial"/>
      <family val="2"/>
    </font>
    <font>
      <sz val="11"/>
      <name val="Calibri"/>
      <family val="2"/>
      <scheme val="minor"/>
    </font>
    <font>
      <sz val="8"/>
      <name val="Calibri"/>
      <family val="2"/>
      <scheme val="minor"/>
    </font>
    <font>
      <vertAlign val="superscript"/>
      <sz val="8"/>
      <name val="Calibri"/>
      <family val="2"/>
      <scheme val="minor"/>
    </font>
    <font>
      <i/>
      <sz val="8"/>
      <name val="Calibri"/>
      <family val="2"/>
      <scheme val="minor"/>
    </font>
    <font>
      <sz val="11"/>
      <color theme="1"/>
      <name val="Calibri"/>
      <family val="2"/>
      <scheme val="minor"/>
    </font>
    <font>
      <b/>
      <sz val="8"/>
      <color theme="1"/>
      <name val="Calibri"/>
      <family val="2"/>
      <scheme val="minor"/>
    </font>
    <font>
      <vertAlign val="subscript"/>
      <sz val="11"/>
      <color theme="1"/>
      <name val="Calibri"/>
      <family val="2"/>
      <scheme val="minor"/>
    </font>
    <font>
      <sz val="8"/>
      <name val="Arial"/>
      <family val="2"/>
    </font>
    <font>
      <b/>
      <sz val="8"/>
      <name val="Calibri"/>
      <family val="2"/>
      <scheme val="minor"/>
    </font>
    <font>
      <b/>
      <sz val="10"/>
      <name val="Arial"/>
      <family val="2"/>
    </font>
    <font>
      <vertAlign val="superscript"/>
      <sz val="8"/>
      <name val="Arial"/>
      <family val="2"/>
    </font>
    <font>
      <b/>
      <sz val="8"/>
      <name val="Arial"/>
      <family val="2"/>
    </font>
    <font>
      <sz val="11"/>
      <color rgb="FFFF0000"/>
      <name val="Calibri"/>
      <family val="2"/>
      <scheme val="minor"/>
    </font>
    <font>
      <b/>
      <sz val="10"/>
      <color rgb="FFFF0000"/>
      <name val="Calibri"/>
      <family val="2"/>
      <scheme val="minor"/>
    </font>
    <font>
      <u/>
      <sz val="10"/>
      <name val="Calibri"/>
      <family val="2"/>
      <scheme val="minor"/>
    </font>
    <font>
      <sz val="11"/>
      <color theme="1"/>
      <name val="Arial"/>
      <family val="2"/>
    </font>
    <font>
      <u/>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i/>
      <sz val="11"/>
      <color theme="1"/>
      <name val="Arial"/>
      <family val="2"/>
    </font>
    <font>
      <b/>
      <sz val="11"/>
      <name val="Calibri"/>
      <family val="2"/>
      <scheme val="minor"/>
    </font>
    <font>
      <b/>
      <sz val="9"/>
      <color theme="1"/>
      <name val="Calibri"/>
      <family val="2"/>
      <scheme val="minor"/>
    </font>
    <font>
      <sz val="9"/>
      <color theme="0" tint="-0.14999847407452621"/>
      <name val="Calibri"/>
      <family val="2"/>
      <scheme val="minor"/>
    </font>
    <font>
      <b/>
      <sz val="16"/>
      <color theme="1"/>
      <name val="Calibri"/>
      <family val="2"/>
      <scheme val="minor"/>
    </font>
    <font>
      <sz val="9"/>
      <name val="Calibri"/>
      <family val="2"/>
      <scheme val="minor"/>
    </font>
    <font>
      <sz val="10"/>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FFFFE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bgColor indexed="64"/>
      </patternFill>
    </fill>
    <fill>
      <patternFill patternType="solid">
        <fgColor theme="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32" fillId="0" borderId="0" applyNumberFormat="0" applyFill="0" applyBorder="0" applyAlignment="0" applyProtection="0"/>
  </cellStyleXfs>
  <cellXfs count="590">
    <xf numFmtId="0" fontId="0" fillId="0" borderId="0" xfId="0"/>
    <xf numFmtId="0" fontId="0" fillId="0" borderId="0" xfId="0" applyFill="1"/>
    <xf numFmtId="0" fontId="2" fillId="0" borderId="0" xfId="0" applyFont="1"/>
    <xf numFmtId="2" fontId="0" fillId="0" borderId="0" xfId="0" applyNumberFormat="1"/>
    <xf numFmtId="0" fontId="2" fillId="0" borderId="0" xfId="0" applyFont="1" applyAlignment="1">
      <alignment vertical="center" wrapText="1"/>
    </xf>
    <xf numFmtId="0" fontId="8" fillId="0" borderId="0" xfId="0" applyFont="1" applyAlignment="1">
      <alignment horizontal="center" vertical="center" wrapText="1"/>
    </xf>
    <xf numFmtId="0" fontId="10" fillId="0" borderId="0" xfId="0" applyNumberFormat="1" applyFont="1" applyBorder="1" applyAlignment="1">
      <alignment horizontal="center" wrapText="1"/>
    </xf>
    <xf numFmtId="0" fontId="3" fillId="0" borderId="0" xfId="0" applyFont="1" applyBorder="1"/>
    <xf numFmtId="0" fontId="3" fillId="0" borderId="0" xfId="0" applyFont="1" applyBorder="1" applyAlignment="1">
      <alignment horizontal="left"/>
    </xf>
    <xf numFmtId="2" fontId="10" fillId="0" borderId="0" xfId="0" applyNumberFormat="1" applyFont="1" applyBorder="1" applyAlignment="1">
      <alignment horizontal="center" textRotation="90" wrapText="1"/>
    </xf>
    <xf numFmtId="2" fontId="3" fillId="0" borderId="0" xfId="0" applyNumberFormat="1" applyFont="1" applyBorder="1" applyAlignment="1"/>
    <xf numFmtId="2" fontId="3" fillId="0" borderId="0" xfId="0" applyNumberFormat="1" applyFont="1" applyBorder="1"/>
    <xf numFmtId="0" fontId="12" fillId="0" borderId="0" xfId="0" applyFont="1"/>
    <xf numFmtId="2" fontId="12" fillId="0" borderId="0" xfId="0" applyNumberFormat="1" applyFont="1"/>
    <xf numFmtId="0" fontId="13" fillId="0" borderId="1" xfId="0" applyFont="1" applyBorder="1" applyAlignment="1">
      <alignment vertical="center" wrapText="1"/>
    </xf>
    <xf numFmtId="0" fontId="5" fillId="0" borderId="0" xfId="8"/>
    <xf numFmtId="0" fontId="5" fillId="0" borderId="0" xfId="8" applyAlignment="1">
      <alignment horizontal="center"/>
    </xf>
    <xf numFmtId="0" fontId="5" fillId="0" borderId="1" xfId="8" applyBorder="1"/>
    <xf numFmtId="2" fontId="5" fillId="0" borderId="0" xfId="8" applyNumberFormat="1" applyAlignment="1">
      <alignment horizontal="center" vertical="center"/>
    </xf>
    <xf numFmtId="0" fontId="5" fillId="0" borderId="0" xfId="8" applyFill="1"/>
    <xf numFmtId="0" fontId="5" fillId="2" borderId="1" xfId="8" applyFill="1" applyBorder="1" applyAlignment="1">
      <alignment horizontal="center"/>
    </xf>
    <xf numFmtId="0" fontId="5" fillId="0" borderId="1" xfId="8" applyBorder="1" applyAlignment="1">
      <alignment horizontal="center"/>
    </xf>
    <xf numFmtId="0" fontId="5" fillId="0" borderId="1" xfId="8" applyBorder="1" applyAlignment="1">
      <alignment horizontal="center" wrapText="1"/>
    </xf>
    <xf numFmtId="0" fontId="5" fillId="2" borderId="1" xfId="8" applyFill="1" applyBorder="1" applyAlignment="1">
      <alignment horizontal="center" wrapText="1"/>
    </xf>
    <xf numFmtId="2" fontId="5" fillId="2" borderId="1" xfId="8" applyNumberFormat="1" applyFill="1" applyBorder="1" applyAlignment="1">
      <alignment horizontal="center"/>
    </xf>
    <xf numFmtId="164" fontId="5" fillId="2" borderId="1" xfId="8" applyNumberFormat="1" applyFill="1" applyBorder="1" applyAlignment="1">
      <alignment horizontal="center"/>
    </xf>
    <xf numFmtId="2" fontId="5" fillId="0" borderId="1" xfId="8" applyNumberFormat="1" applyBorder="1" applyAlignment="1">
      <alignment horizontal="center"/>
    </xf>
    <xf numFmtId="164" fontId="5" fillId="0" borderId="1" xfId="8" applyNumberFormat="1" applyBorder="1" applyAlignment="1">
      <alignment horizontal="center"/>
    </xf>
    <xf numFmtId="0" fontId="5" fillId="0" borderId="0" xfId="8" applyAlignment="1">
      <alignment horizontal="center" wrapText="1"/>
    </xf>
    <xf numFmtId="2" fontId="5" fillId="0" borderId="0" xfId="8" applyNumberFormat="1" applyAlignment="1">
      <alignment horizontal="center"/>
    </xf>
    <xf numFmtId="164" fontId="5" fillId="0" borderId="0" xfId="8" applyNumberFormat="1" applyAlignment="1">
      <alignment horizontal="center"/>
    </xf>
    <xf numFmtId="0" fontId="5" fillId="0" borderId="0" xfId="8" applyAlignment="1">
      <alignment vertical="center" wrapText="1"/>
    </xf>
    <xf numFmtId="0" fontId="5" fillId="0" borderId="0" xfId="8" applyBorder="1" applyAlignment="1">
      <alignment vertical="center" wrapText="1"/>
    </xf>
    <xf numFmtId="0" fontId="12" fillId="0" borderId="0" xfId="0" applyFont="1" applyFill="1"/>
    <xf numFmtId="2" fontId="12" fillId="0" borderId="0" xfId="0" applyNumberFormat="1" applyFont="1" applyFill="1"/>
    <xf numFmtId="0" fontId="2" fillId="0" borderId="0" xfId="0" applyFont="1" applyBorder="1" applyAlignment="1">
      <alignment vertical="center" wrapText="1"/>
    </xf>
    <xf numFmtId="0" fontId="2" fillId="2" borderId="1" xfId="8" applyFont="1" applyFill="1" applyBorder="1" applyAlignment="1">
      <alignment horizontal="center" wrapText="1"/>
    </xf>
    <xf numFmtId="0" fontId="2" fillId="2" borderId="1" xfId="8" applyFont="1" applyFill="1" applyBorder="1" applyAlignment="1">
      <alignment horizontal="right" wrapText="1"/>
    </xf>
    <xf numFmtId="0" fontId="2" fillId="2" borderId="1" xfId="8" applyFont="1" applyFill="1" applyBorder="1" applyAlignment="1">
      <alignment horizontal="center"/>
    </xf>
    <xf numFmtId="0" fontId="2" fillId="2" borderId="1" xfId="8" applyFont="1" applyFill="1" applyBorder="1" applyAlignment="1">
      <alignment horizontal="right"/>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21"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textRotation="90" wrapText="1"/>
    </xf>
    <xf numFmtId="0" fontId="20" fillId="2" borderId="1" xfId="0" applyFont="1" applyFill="1" applyBorder="1" applyAlignment="1">
      <alignment vertical="center" wrapText="1"/>
    </xf>
    <xf numFmtId="0" fontId="13" fillId="8" borderId="1" xfId="0" applyFont="1" applyFill="1" applyBorder="1" applyAlignment="1">
      <alignment vertical="center" wrapText="1"/>
    </xf>
    <xf numFmtId="2" fontId="13" fillId="2" borderId="15" xfId="0" applyNumberFormat="1" applyFont="1" applyFill="1" applyBorder="1" applyAlignment="1">
      <alignment horizontal="center" vertical="center" wrapText="1"/>
    </xf>
    <xf numFmtId="0" fontId="13" fillId="2" borderId="15" xfId="0" applyFont="1" applyFill="1" applyBorder="1" applyAlignment="1">
      <alignment horizontal="center" vertical="center" wrapText="1"/>
    </xf>
    <xf numFmtId="2"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3" fillId="2" borderId="3" xfId="0" applyFont="1" applyFill="1" applyBorder="1" applyAlignment="1">
      <alignment vertical="center" wrapText="1"/>
    </xf>
    <xf numFmtId="0" fontId="4" fillId="8" borderId="1" xfId="8" applyFont="1" applyFill="1" applyBorder="1" applyAlignment="1" applyProtection="1">
      <alignment horizontal="center" vertical="center"/>
      <protection locked="0"/>
    </xf>
    <xf numFmtId="0" fontId="9"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vertical="center" wrapText="1"/>
    </xf>
    <xf numFmtId="0" fontId="17" fillId="2" borderId="1" xfId="0" applyFont="1" applyFill="1" applyBorder="1" applyAlignment="1">
      <alignment vertical="center" wrapText="1"/>
    </xf>
    <xf numFmtId="0" fontId="24" fillId="0" borderId="0" xfId="0" applyFont="1"/>
    <xf numFmtId="0" fontId="0" fillId="0" borderId="0" xfId="0" applyAlignment="1"/>
    <xf numFmtId="0" fontId="24" fillId="0" borderId="1" xfId="0" applyFont="1" applyBorder="1" applyAlignment="1"/>
    <xf numFmtId="0" fontId="0" fillId="2" borderId="1" xfId="0" applyFill="1" applyBorder="1"/>
    <xf numFmtId="0" fontId="0" fillId="5" borderId="1" xfId="0" applyFill="1" applyBorder="1"/>
    <xf numFmtId="0" fontId="0" fillId="8" borderId="1" xfId="0" applyFill="1" applyBorder="1"/>
    <xf numFmtId="0" fontId="25" fillId="0" borderId="0" xfId="0" applyFont="1"/>
    <xf numFmtId="0" fontId="17"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0" fillId="4" borderId="12" xfId="0" applyFill="1" applyBorder="1"/>
    <xf numFmtId="0" fontId="0" fillId="4" borderId="19" xfId="0" applyFill="1" applyBorder="1"/>
    <xf numFmtId="0" fontId="0" fillId="4" borderId="8" xfId="0" applyFill="1" applyBorder="1"/>
    <xf numFmtId="9" fontId="0" fillId="0" borderId="0" xfId="11" applyFont="1"/>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0" fillId="0" borderId="0" xfId="0" applyNumberFormat="1"/>
    <xf numFmtId="0" fontId="3" fillId="0" borderId="0" xfId="0" applyFont="1" applyFill="1" applyBorder="1"/>
    <xf numFmtId="0" fontId="2" fillId="5" borderId="1" xfId="10" applyNumberFormat="1" applyFont="1" applyFill="1" applyBorder="1" applyAlignment="1" applyProtection="1">
      <alignment vertical="center" wrapText="1"/>
      <protection hidden="1"/>
    </xf>
    <xf numFmtId="44" fontId="2" fillId="5" borderId="1" xfId="10" applyFont="1" applyFill="1" applyBorder="1" applyAlignment="1" applyProtection="1">
      <alignment vertical="center" wrapText="1"/>
      <protection hidden="1"/>
    </xf>
    <xf numFmtId="2" fontId="2" fillId="5" borderId="1" xfId="10" applyNumberFormat="1" applyFont="1" applyFill="1" applyBorder="1" applyAlignment="1" applyProtection="1">
      <alignment vertical="center" wrapText="1"/>
      <protection hidden="1"/>
    </xf>
    <xf numFmtId="164" fontId="19" fillId="5" borderId="1" xfId="0" applyNumberFormat="1"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19" fillId="5" borderId="1" xfId="0" applyFont="1" applyFill="1" applyBorder="1" applyAlignment="1" applyProtection="1">
      <alignment horizontal="center" vertical="center" wrapText="1"/>
      <protection hidden="1"/>
    </xf>
    <xf numFmtId="2" fontId="19" fillId="5" borderId="1" xfId="0" applyNumberFormat="1"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2" fontId="13" fillId="5" borderId="1" xfId="0" applyNumberFormat="1" applyFont="1" applyFill="1" applyBorder="1" applyAlignment="1" applyProtection="1">
      <alignment horizontal="center" vertical="center" wrapText="1"/>
      <protection hidden="1"/>
    </xf>
    <xf numFmtId="2" fontId="15" fillId="5" borderId="1" xfId="0" applyNumberFormat="1" applyFont="1" applyFill="1" applyBorder="1" applyAlignment="1" applyProtection="1">
      <alignment vertical="center" wrapText="1"/>
      <protection hidden="1"/>
    </xf>
    <xf numFmtId="3" fontId="13" fillId="5" borderId="1" xfId="0" applyNumberFormat="1" applyFont="1" applyFill="1" applyBorder="1" applyAlignment="1" applyProtection="1">
      <alignment vertical="center" wrapText="1"/>
      <protection hidden="1"/>
    </xf>
    <xf numFmtId="0" fontId="13" fillId="5" borderId="1" xfId="0" applyFont="1" applyFill="1" applyBorder="1" applyAlignment="1" applyProtection="1">
      <alignment vertical="center" wrapText="1"/>
      <protection hidden="1"/>
    </xf>
    <xf numFmtId="1" fontId="13" fillId="5" borderId="1" xfId="0" applyNumberFormat="1" applyFont="1" applyFill="1" applyBorder="1" applyAlignment="1" applyProtection="1">
      <alignment vertical="center" wrapText="1"/>
      <protection hidden="1"/>
    </xf>
    <xf numFmtId="0" fontId="13" fillId="2" borderId="1" xfId="0" applyFont="1" applyFill="1" applyBorder="1" applyAlignment="1" applyProtection="1">
      <alignment horizontal="center" vertical="center" wrapText="1"/>
      <protection hidden="1"/>
    </xf>
    <xf numFmtId="165" fontId="13" fillId="5" borderId="1" xfId="9" applyNumberFormat="1" applyFont="1" applyFill="1" applyBorder="1" applyAlignment="1" applyProtection="1">
      <alignment vertical="center" wrapText="1"/>
      <protection hidden="1"/>
    </xf>
    <xf numFmtId="0" fontId="2" fillId="5" borderId="1" xfId="8" applyFont="1" applyFill="1" applyBorder="1" applyAlignment="1" applyProtection="1">
      <alignment horizontal="center" vertical="center"/>
      <protection hidden="1"/>
    </xf>
    <xf numFmtId="2" fontId="2" fillId="5" borderId="3" xfId="8" applyNumberFormat="1" applyFont="1" applyFill="1" applyBorder="1" applyAlignment="1" applyProtection="1">
      <alignment horizontal="center" vertical="center"/>
      <protection hidden="1"/>
    </xf>
    <xf numFmtId="0" fontId="2" fillId="5" borderId="5" xfId="8" applyFont="1" applyFill="1" applyBorder="1" applyAlignment="1" applyProtection="1">
      <alignment vertical="center"/>
      <protection hidden="1"/>
    </xf>
    <xf numFmtId="0" fontId="2" fillId="5" borderId="9" xfId="8" applyFont="1" applyFill="1" applyBorder="1" applyAlignment="1" applyProtection="1">
      <alignment horizontal="center"/>
      <protection hidden="1"/>
    </xf>
    <xf numFmtId="0" fontId="2" fillId="5" borderId="1" xfId="8" applyFont="1" applyFill="1" applyBorder="1" applyAlignment="1" applyProtection="1">
      <alignment horizontal="center"/>
      <protection hidden="1"/>
    </xf>
    <xf numFmtId="2" fontId="13" fillId="5" borderId="3" xfId="8" applyNumberFormat="1" applyFont="1" applyFill="1" applyBorder="1" applyAlignment="1" applyProtection="1">
      <alignment horizontal="center" vertical="center"/>
      <protection hidden="1"/>
    </xf>
    <xf numFmtId="1" fontId="13" fillId="5" borderId="3" xfId="8" applyNumberFormat="1" applyFont="1" applyFill="1" applyBorder="1" applyAlignment="1" applyProtection="1">
      <alignment horizontal="center" vertical="center"/>
      <protection hidden="1"/>
    </xf>
    <xf numFmtId="0" fontId="4" fillId="2" borderId="1" xfId="8" applyFont="1" applyFill="1" applyBorder="1" applyAlignment="1" applyProtection="1">
      <alignment horizontal="center" vertical="center"/>
      <protection hidden="1"/>
    </xf>
    <xf numFmtId="0" fontId="2" fillId="2" borderId="1" xfId="0" applyFont="1" applyFill="1" applyBorder="1" applyAlignment="1">
      <alignment vertical="center" wrapText="1"/>
    </xf>
    <xf numFmtId="44" fontId="0" fillId="0" borderId="0" xfId="0" applyNumberFormat="1"/>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0" xfId="0" applyFont="1" applyFill="1" applyBorder="1" applyAlignment="1">
      <alignment vertical="center" wrapText="1"/>
    </xf>
    <xf numFmtId="0" fontId="6" fillId="0" borderId="0" xfId="0" applyFont="1" applyBorder="1" applyAlignment="1">
      <alignment horizontal="right" vertical="center" wrapText="1"/>
    </xf>
    <xf numFmtId="0" fontId="2" fillId="4" borderId="3" xfId="0" applyFont="1" applyFill="1" applyBorder="1"/>
    <xf numFmtId="0" fontId="2" fillId="4" borderId="4" xfId="0" applyFont="1" applyFill="1" applyBorder="1"/>
    <xf numFmtId="0" fontId="2" fillId="4" borderId="5" xfId="0" applyFont="1" applyFill="1" applyBorder="1"/>
    <xf numFmtId="0" fontId="0" fillId="9" borderId="1" xfId="0" applyFill="1" applyBorder="1"/>
    <xf numFmtId="0" fontId="13" fillId="2" borderId="15" xfId="0" applyFont="1" applyFill="1" applyBorder="1" applyAlignment="1">
      <alignment vertical="center" wrapText="1"/>
    </xf>
    <xf numFmtId="0" fontId="12" fillId="2" borderId="15" xfId="0" applyFont="1" applyFill="1" applyBorder="1" applyAlignment="1">
      <alignment horizontal="left" vertical="center" wrapText="1"/>
    </xf>
    <xf numFmtId="0" fontId="10"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7" fillId="4" borderId="13" xfId="0" applyFont="1" applyFill="1" applyBorder="1" applyProtection="1"/>
    <xf numFmtId="0" fontId="0" fillId="4" borderId="13" xfId="0" applyFill="1" applyBorder="1" applyProtection="1"/>
    <xf numFmtId="0" fontId="0" fillId="4" borderId="14" xfId="0" applyFill="1" applyBorder="1" applyProtection="1"/>
    <xf numFmtId="0" fontId="13" fillId="0" borderId="1" xfId="0" applyFont="1" applyBorder="1" applyAlignment="1" applyProtection="1">
      <alignment horizontal="center" vertical="center" wrapText="1"/>
    </xf>
    <xf numFmtId="0" fontId="13" fillId="8" borderId="3" xfId="0" applyFont="1" applyFill="1" applyBorder="1" applyAlignment="1" applyProtection="1">
      <alignment vertical="center" wrapText="1"/>
      <protection locked="0"/>
    </xf>
    <xf numFmtId="0" fontId="13" fillId="8" borderId="4" xfId="0" applyFont="1" applyFill="1" applyBorder="1" applyAlignment="1" applyProtection="1">
      <alignment vertical="center" wrapText="1"/>
      <protection locked="0"/>
    </xf>
    <xf numFmtId="0" fontId="13" fillId="8" borderId="5" xfId="0" applyFont="1" applyFill="1" applyBorder="1" applyAlignment="1" applyProtection="1">
      <alignment vertical="center" wrapText="1"/>
      <protection locked="0"/>
    </xf>
    <xf numFmtId="0" fontId="13" fillId="8" borderId="1" xfId="0" applyFont="1" applyFill="1" applyBorder="1" applyAlignment="1" applyProtection="1">
      <alignment horizontal="center" vertical="center" wrapText="1"/>
      <protection locked="0"/>
    </xf>
    <xf numFmtId="0" fontId="32" fillId="0" borderId="0" xfId="12"/>
    <xf numFmtId="165" fontId="6" fillId="0" borderId="1" xfId="9" applyNumberFormat="1" applyFont="1" applyBorder="1" applyAlignment="1" applyProtection="1">
      <alignment vertical="center" wrapText="1"/>
      <protection locked="0"/>
    </xf>
    <xf numFmtId="165" fontId="6" fillId="0" borderId="1" xfId="9" applyNumberFormat="1" applyFont="1" applyBorder="1" applyAlignment="1" applyProtection="1">
      <alignment horizontal="right" vertical="center" wrapText="1"/>
      <protection locked="0"/>
    </xf>
    <xf numFmtId="0" fontId="6" fillId="0" borderId="1" xfId="0" applyFont="1" applyBorder="1" applyAlignment="1" applyProtection="1">
      <alignment horizontal="right" vertical="center" wrapText="1"/>
      <protection locked="0"/>
    </xf>
    <xf numFmtId="165" fontId="2" fillId="0" borderId="0" xfId="9" applyNumberFormat="1" applyFont="1" applyProtection="1">
      <protection locked="0"/>
    </xf>
    <xf numFmtId="0" fontId="0" fillId="4" borderId="0" xfId="0" applyFill="1" applyBorder="1" applyProtection="1">
      <protection locked="0"/>
    </xf>
    <xf numFmtId="0" fontId="0" fillId="4" borderId="20" xfId="0" applyFill="1" applyBorder="1" applyProtection="1">
      <protection locked="0"/>
    </xf>
    <xf numFmtId="0" fontId="0" fillId="4" borderId="2" xfId="0" applyFill="1" applyBorder="1" applyProtection="1">
      <protection locked="0"/>
    </xf>
    <xf numFmtId="0" fontId="0" fillId="4" borderId="10" xfId="0" applyFill="1" applyBorder="1" applyProtection="1">
      <protection locked="0"/>
    </xf>
    <xf numFmtId="165" fontId="6" fillId="5" borderId="1" xfId="9" applyNumberFormat="1" applyFont="1" applyFill="1" applyBorder="1" applyAlignment="1" applyProtection="1">
      <alignment vertical="center" wrapText="1"/>
      <protection hidden="1"/>
    </xf>
    <xf numFmtId="0" fontId="6" fillId="5" borderId="1" xfId="0" applyFont="1" applyFill="1" applyBorder="1" applyAlignment="1" applyProtection="1">
      <alignment vertical="center" wrapText="1"/>
      <protection hidden="1"/>
    </xf>
    <xf numFmtId="9" fontId="6" fillId="5" borderId="1" xfId="11" applyNumberFormat="1" applyFont="1" applyFill="1" applyBorder="1" applyAlignment="1" applyProtection="1">
      <alignment vertical="center" wrapText="1"/>
      <protection hidden="1"/>
    </xf>
    <xf numFmtId="44" fontId="6" fillId="5" borderId="15" xfId="10" applyFont="1" applyFill="1" applyBorder="1" applyAlignment="1" applyProtection="1">
      <alignment vertical="center" wrapText="1"/>
      <protection hidden="1"/>
    </xf>
    <xf numFmtId="0" fontId="19" fillId="0" borderId="1" xfId="0" applyFont="1" applyBorder="1" applyAlignment="1" applyProtection="1">
      <alignment horizontal="center" vertical="center" wrapText="1"/>
      <protection locked="0"/>
    </xf>
    <xf numFmtId="0" fontId="23" fillId="0" borderId="5" xfId="0" applyFont="1" applyBorder="1" applyAlignment="1" applyProtection="1">
      <alignment vertical="center" wrapText="1"/>
      <protection locked="0"/>
    </xf>
    <xf numFmtId="0" fontId="2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 xfId="0" applyFont="1" applyBorder="1" applyAlignment="1" applyProtection="1">
      <alignment vertical="center" wrapText="1"/>
      <protection locked="0"/>
    </xf>
    <xf numFmtId="9" fontId="13" fillId="0" borderId="1" xfId="11" applyFont="1" applyBorder="1" applyAlignment="1" applyProtection="1">
      <alignment horizontal="center" vertical="center" wrapText="1"/>
      <protection locked="0"/>
    </xf>
    <xf numFmtId="0" fontId="13" fillId="8" borderId="1" xfId="0" applyFont="1" applyFill="1" applyBorder="1" applyAlignment="1" applyProtection="1">
      <alignment vertical="center" wrapText="1"/>
      <protection locked="0"/>
    </xf>
    <xf numFmtId="3" fontId="13" fillId="8" borderId="1" xfId="0" applyNumberFormat="1" applyFont="1" applyFill="1" applyBorder="1" applyAlignment="1" applyProtection="1">
      <alignment horizontal="center" vertical="center" wrapText="1"/>
      <protection locked="0"/>
    </xf>
    <xf numFmtId="2" fontId="13" fillId="0" borderId="1" xfId="0" applyNumberFormat="1"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0" fontId="12" fillId="0" borderId="0" xfId="0" applyFont="1" applyProtection="1">
      <protection hidden="1"/>
    </xf>
    <xf numFmtId="1" fontId="13" fillId="0" borderId="1" xfId="0" applyNumberFormat="1" applyFont="1" applyBorder="1" applyAlignment="1" applyProtection="1">
      <alignment vertical="center" wrapText="1"/>
      <protection locked="0"/>
    </xf>
    <xf numFmtId="2" fontId="13" fillId="0" borderId="1" xfId="0" applyNumberFormat="1" applyFont="1" applyBorder="1" applyAlignment="1" applyProtection="1">
      <alignment vertical="center" wrapText="1"/>
      <protection locked="0"/>
    </xf>
    <xf numFmtId="0" fontId="0" fillId="0" borderId="0" xfId="0" applyProtection="1">
      <protection hidden="1"/>
    </xf>
    <xf numFmtId="0" fontId="2" fillId="0" borderId="1" xfId="8" applyFont="1" applyFill="1" applyBorder="1" applyAlignment="1" applyProtection="1">
      <alignment horizontal="center" vertical="center"/>
      <protection locked="0"/>
    </xf>
    <xf numFmtId="0" fontId="2" fillId="0" borderId="6" xfId="8" applyFont="1" applyFill="1" applyBorder="1" applyAlignment="1" applyProtection="1">
      <alignment horizontal="center" vertical="center"/>
      <protection locked="0"/>
    </xf>
    <xf numFmtId="0" fontId="2" fillId="0" borderId="9" xfId="8" applyFont="1" applyFill="1" applyBorder="1" applyAlignment="1" applyProtection="1">
      <alignment horizontal="center" vertical="center"/>
      <protection locked="0"/>
    </xf>
    <xf numFmtId="0" fontId="2" fillId="0" borderId="9" xfId="8" applyFont="1" applyFill="1" applyBorder="1" applyAlignment="1" applyProtection="1">
      <alignment horizontal="center"/>
      <protection locked="0"/>
    </xf>
    <xf numFmtId="0" fontId="2" fillId="0" borderId="1" xfId="8" applyFont="1" applyFill="1" applyBorder="1" applyAlignment="1" applyProtection="1">
      <alignment horizontal="center"/>
      <protection locked="0"/>
    </xf>
    <xf numFmtId="0" fontId="2" fillId="0" borderId="1" xfId="8" applyFont="1" applyFill="1" applyBorder="1" applyProtection="1">
      <protection locked="0"/>
    </xf>
    <xf numFmtId="0" fontId="13" fillId="0" borderId="3" xfId="0" applyFont="1" applyBorder="1" applyAlignment="1" applyProtection="1">
      <alignment horizontal="center" vertical="center" wrapText="1"/>
      <protection locked="0"/>
    </xf>
    <xf numFmtId="0" fontId="13" fillId="8" borderId="15"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hidden="1"/>
    </xf>
    <xf numFmtId="0" fontId="13" fillId="0" borderId="3"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3" fillId="0" borderId="0" xfId="0" applyFont="1" applyAlignment="1">
      <alignment horizontal="left" vertical="center" indent="15"/>
    </xf>
    <xf numFmtId="0" fontId="4" fillId="0" borderId="21" xfId="0" applyFont="1" applyBorder="1" applyAlignment="1">
      <alignment vertical="center" wrapText="1"/>
    </xf>
    <xf numFmtId="0" fontId="0" fillId="0" borderId="0" xfId="0" applyAlignment="1">
      <alignment vertical="center" wrapText="1"/>
    </xf>
    <xf numFmtId="0" fontId="5" fillId="0" borderId="25" xfId="0" applyFont="1" applyBorder="1" applyAlignment="1">
      <alignment vertical="center" wrapText="1"/>
    </xf>
    <xf numFmtId="0" fontId="5" fillId="0" borderId="0" xfId="0" applyFont="1" applyAlignment="1">
      <alignment vertical="center"/>
    </xf>
    <xf numFmtId="0" fontId="1" fillId="0" borderId="32" xfId="0" applyFont="1" applyBorder="1" applyAlignment="1">
      <alignment horizontal="right" vertical="center"/>
    </xf>
    <xf numFmtId="0" fontId="1" fillId="0" borderId="33" xfId="0" applyFont="1" applyBorder="1" applyAlignment="1">
      <alignment horizontal="right" vertical="center"/>
    </xf>
    <xf numFmtId="0" fontId="1" fillId="0" borderId="34" xfId="0" applyFont="1" applyBorder="1" applyAlignment="1">
      <alignment horizontal="right" vertical="center"/>
    </xf>
    <xf numFmtId="0" fontId="0" fillId="0" borderId="1" xfId="0" applyFill="1" applyBorder="1"/>
    <xf numFmtId="0" fontId="2" fillId="0" borderId="1" xfId="0" applyFont="1" applyBorder="1" applyAlignment="1" applyProtection="1">
      <alignment vertical="center" wrapText="1"/>
      <protection locked="0"/>
    </xf>
    <xf numFmtId="166" fontId="2" fillId="0" borderId="1" xfId="0" applyNumberFormat="1" applyFont="1" applyBorder="1" applyAlignment="1" applyProtection="1">
      <alignment vertical="center" wrapText="1"/>
      <protection locked="0"/>
    </xf>
    <xf numFmtId="44" fontId="2" fillId="0" borderId="1" xfId="10" applyFont="1" applyBorder="1" applyAlignment="1" applyProtection="1">
      <alignment vertical="center" wrapText="1"/>
      <protection locked="0"/>
    </xf>
    <xf numFmtId="0" fontId="2" fillId="0" borderId="1" xfId="0" applyFont="1" applyBorder="1" applyAlignment="1" applyProtection="1">
      <alignment horizontal="right" vertical="center" wrapText="1"/>
      <protection locked="0"/>
    </xf>
    <xf numFmtId="44" fontId="2" fillId="4" borderId="1" xfId="10" applyFont="1" applyFill="1" applyBorder="1" applyAlignment="1" applyProtection="1">
      <alignment vertical="center" wrapText="1"/>
      <protection locked="0" hidden="1"/>
    </xf>
    <xf numFmtId="0" fontId="6" fillId="2" borderId="1"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13" fillId="0" borderId="1" xfId="0" applyFont="1" applyBorder="1" applyAlignment="1" applyProtection="1">
      <alignment horizontal="center" vertical="center" wrapText="1"/>
      <protection locked="0"/>
    </xf>
    <xf numFmtId="0" fontId="13" fillId="2" borderId="1" xfId="0" applyFont="1" applyFill="1" applyBorder="1" applyAlignment="1">
      <alignment vertical="center" wrapText="1"/>
    </xf>
    <xf numFmtId="0" fontId="13" fillId="0" borderId="1" xfId="0" applyFont="1" applyBorder="1" applyAlignment="1" applyProtection="1">
      <alignment vertical="center" wrapText="1"/>
      <protection locked="0"/>
    </xf>
    <xf numFmtId="0" fontId="13" fillId="2" borderId="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textRotation="90" wrapText="1"/>
    </xf>
    <xf numFmtId="0" fontId="20" fillId="2" borderId="1" xfId="0" applyFont="1" applyFill="1" applyBorder="1" applyAlignment="1">
      <alignment vertical="center" wrapText="1"/>
    </xf>
    <xf numFmtId="0" fontId="13" fillId="2" borderId="3"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3" fillId="2" borderId="1" xfId="0" applyFont="1" applyFill="1" applyBorder="1" applyAlignment="1">
      <alignment vertical="center" wrapText="1"/>
    </xf>
    <xf numFmtId="0" fontId="13" fillId="8" borderId="1" xfId="0" applyFont="1" applyFill="1" applyBorder="1" applyAlignment="1" applyProtection="1">
      <alignment horizontal="center" vertical="center" wrapText="1"/>
      <protection locked="0"/>
    </xf>
    <xf numFmtId="0" fontId="20" fillId="2" borderId="1"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2" fontId="3" fillId="11" borderId="0" xfId="0" applyNumberFormat="1" applyFont="1" applyFill="1" applyBorder="1"/>
    <xf numFmtId="2" fontId="3" fillId="0" borderId="0" xfId="0" applyNumberFormat="1" applyFont="1" applyFill="1" applyBorder="1"/>
    <xf numFmtId="0" fontId="13" fillId="0" borderId="1" xfId="0" applyFont="1" applyFill="1" applyBorder="1" applyAlignment="1" applyProtection="1">
      <alignment vertical="center" wrapText="1"/>
      <protection locked="0"/>
    </xf>
    <xf numFmtId="3" fontId="13" fillId="0" borderId="1" xfId="0" applyNumberFormat="1" applyFont="1" applyFill="1" applyBorder="1" applyAlignment="1" applyProtection="1">
      <alignment horizontal="center" vertical="center" wrapText="1"/>
      <protection locked="0"/>
    </xf>
    <xf numFmtId="0" fontId="13" fillId="12" borderId="1" xfId="0" applyFont="1" applyFill="1" applyBorder="1" applyAlignment="1" applyProtection="1">
      <alignment vertical="center" wrapText="1"/>
      <protection locked="0"/>
    </xf>
    <xf numFmtId="2" fontId="13" fillId="12" borderId="1" xfId="0" applyNumberFormat="1" applyFont="1" applyFill="1" applyBorder="1" applyAlignment="1" applyProtection="1">
      <alignment horizontal="center" vertical="center" wrapText="1"/>
      <protection hidden="1"/>
    </xf>
    <xf numFmtId="2" fontId="13" fillId="12" borderId="1" xfId="0" applyNumberFormat="1" applyFont="1" applyFill="1" applyBorder="1" applyAlignment="1" applyProtection="1">
      <alignment horizontal="center" vertical="center" wrapText="1"/>
      <protection locked="0"/>
    </xf>
    <xf numFmtId="0" fontId="19" fillId="12" borderId="1" xfId="0" applyFont="1" applyFill="1" applyBorder="1" applyAlignment="1" applyProtection="1">
      <alignment horizontal="center" vertical="center" wrapText="1"/>
      <protection hidden="1"/>
    </xf>
    <xf numFmtId="0" fontId="13" fillId="12" borderId="1" xfId="0" applyFont="1" applyFill="1" applyBorder="1" applyAlignment="1" applyProtection="1">
      <alignment horizontal="center" vertical="center" wrapText="1"/>
      <protection locked="0"/>
    </xf>
    <xf numFmtId="0" fontId="13" fillId="12" borderId="1" xfId="0" applyFont="1" applyFill="1" applyBorder="1" applyAlignment="1" applyProtection="1">
      <alignment horizontal="left" vertical="center" wrapText="1"/>
      <protection locked="0"/>
    </xf>
    <xf numFmtId="0" fontId="1" fillId="0" borderId="2" xfId="0" applyFont="1" applyFill="1" applyBorder="1" applyAlignment="1">
      <alignment horizontal="right" vertical="center"/>
    </xf>
    <xf numFmtId="0" fontId="0" fillId="0" borderId="4" xfId="0" applyBorder="1"/>
    <xf numFmtId="0" fontId="1" fillId="0" borderId="4" xfId="0" applyFont="1" applyFill="1" applyBorder="1" applyAlignment="1">
      <alignment horizontal="right" vertical="center"/>
    </xf>
    <xf numFmtId="0" fontId="0" fillId="0" borderId="32" xfId="0" applyBorder="1"/>
    <xf numFmtId="0" fontId="0" fillId="0" borderId="33" xfId="0" applyBorder="1"/>
    <xf numFmtId="0" fontId="0" fillId="0" borderId="39" xfId="0" applyBorder="1"/>
    <xf numFmtId="0" fontId="0" fillId="0" borderId="34" xfId="0" applyBorder="1"/>
    <xf numFmtId="0" fontId="1" fillId="0" borderId="32" xfId="0" applyFont="1" applyFill="1" applyBorder="1" applyAlignment="1">
      <alignment horizontal="right" vertical="center"/>
    </xf>
    <xf numFmtId="0" fontId="1" fillId="12" borderId="41" xfId="0" applyFont="1" applyFill="1" applyBorder="1"/>
    <xf numFmtId="0" fontId="13" fillId="8" borderId="1" xfId="0" applyFont="1" applyFill="1" applyBorder="1" applyAlignment="1" applyProtection="1">
      <alignment horizontal="center" vertical="center" wrapText="1"/>
      <protection locked="0"/>
    </xf>
    <xf numFmtId="0" fontId="13" fillId="8" borderId="12" xfId="0" applyFont="1" applyFill="1" applyBorder="1" applyAlignment="1" applyProtection="1">
      <alignment horizontal="center" vertical="center" wrapText="1"/>
      <protection locked="0"/>
    </xf>
    <xf numFmtId="0" fontId="13" fillId="13" borderId="3" xfId="0" applyFont="1" applyFill="1" applyBorder="1" applyAlignment="1">
      <alignment horizontal="center" vertical="center" wrapText="1"/>
    </xf>
    <xf numFmtId="0" fontId="13" fillId="2" borderId="43" xfId="0" applyFont="1" applyFill="1" applyBorder="1" applyAlignment="1">
      <alignment horizontal="left" vertical="center" wrapText="1"/>
    </xf>
    <xf numFmtId="0" fontId="13" fillId="8" borderId="44" xfId="0" applyFont="1" applyFill="1" applyBorder="1" applyAlignment="1" applyProtection="1">
      <alignment vertical="center" wrapText="1"/>
      <protection locked="0"/>
    </xf>
    <xf numFmtId="0" fontId="13" fillId="8" borderId="45" xfId="0" applyFont="1" applyFill="1" applyBorder="1" applyAlignment="1" applyProtection="1">
      <alignment vertical="center" wrapText="1"/>
      <protection locked="0"/>
    </xf>
    <xf numFmtId="0" fontId="1" fillId="8" borderId="40" xfId="0" applyFont="1" applyFill="1" applyBorder="1"/>
    <xf numFmtId="0" fontId="1" fillId="12" borderId="40" xfId="0" applyFont="1" applyFill="1" applyBorder="1"/>
    <xf numFmtId="167" fontId="1" fillId="12" borderId="40" xfId="0" applyNumberFormat="1" applyFont="1" applyFill="1" applyBorder="1"/>
    <xf numFmtId="9" fontId="1" fillId="12" borderId="40" xfId="11" applyFont="1" applyFill="1" applyBorder="1"/>
    <xf numFmtId="164" fontId="1" fillId="12" borderId="40" xfId="0" applyNumberFormat="1" applyFont="1" applyFill="1" applyBorder="1"/>
    <xf numFmtId="168" fontId="1" fillId="12" borderId="40" xfId="11" applyNumberFormat="1" applyFont="1" applyFill="1" applyBorder="1"/>
    <xf numFmtId="0" fontId="13" fillId="2" borderId="45" xfId="0" applyFont="1" applyFill="1" applyBorder="1" applyAlignment="1">
      <alignment horizontal="left" vertical="center" wrapText="1"/>
    </xf>
    <xf numFmtId="0" fontId="0" fillId="2" borderId="13" xfId="0" applyFill="1" applyBorder="1"/>
    <xf numFmtId="0" fontId="0" fillId="2" borderId="14" xfId="0" applyFill="1" applyBorder="1"/>
    <xf numFmtId="0" fontId="0" fillId="2" borderId="0" xfId="0" applyFill="1" applyBorder="1"/>
    <xf numFmtId="0" fontId="0" fillId="2" borderId="20" xfId="0" applyFill="1" applyBorder="1"/>
    <xf numFmtId="0" fontId="0" fillId="2" borderId="2" xfId="0" applyFill="1" applyBorder="1"/>
    <xf numFmtId="0" fontId="0" fillId="2" borderId="10" xfId="0" applyFill="1" applyBorder="1"/>
    <xf numFmtId="0" fontId="13" fillId="15" borderId="0" xfId="0" applyFont="1" applyFill="1" applyBorder="1" applyAlignment="1" applyProtection="1">
      <alignment horizontal="center" vertical="center" wrapText="1"/>
      <protection locked="0"/>
    </xf>
    <xf numFmtId="0" fontId="13" fillId="15" borderId="0" xfId="0" applyFont="1" applyFill="1" applyBorder="1" applyAlignment="1" applyProtection="1">
      <alignment vertical="center" wrapText="1"/>
      <protection locked="0"/>
    </xf>
    <xf numFmtId="0" fontId="0" fillId="15" borderId="0" xfId="0" applyFill="1" applyBorder="1"/>
    <xf numFmtId="0" fontId="0" fillId="15" borderId="0" xfId="0" applyFill="1"/>
    <xf numFmtId="0" fontId="1" fillId="0" borderId="2" xfId="0" applyFont="1" applyBorder="1" applyAlignment="1">
      <alignment horizontal="right" vertical="center"/>
    </xf>
    <xf numFmtId="0" fontId="1" fillId="0" borderId="39" xfId="0" applyFont="1" applyBorder="1" applyAlignment="1">
      <alignment horizontal="right" vertical="center"/>
    </xf>
    <xf numFmtId="0" fontId="1" fillId="0" borderId="4" xfId="0" applyFont="1" applyBorder="1" applyAlignment="1">
      <alignment horizontal="right" vertical="center"/>
    </xf>
    <xf numFmtId="165" fontId="6" fillId="8" borderId="1" xfId="9" applyNumberFormat="1" applyFont="1" applyFill="1" applyBorder="1" applyAlignment="1" applyProtection="1">
      <alignment vertical="center" wrapText="1"/>
      <protection locked="0"/>
    </xf>
    <xf numFmtId="165" fontId="6" fillId="8" borderId="1" xfId="9" applyNumberFormat="1" applyFont="1" applyFill="1" applyBorder="1" applyAlignment="1" applyProtection="1">
      <alignment horizontal="right" vertical="center" wrapText="1"/>
      <protection locked="0"/>
    </xf>
    <xf numFmtId="0" fontId="0" fillId="12" borderId="1" xfId="0" applyFill="1" applyBorder="1"/>
    <xf numFmtId="0" fontId="0" fillId="16" borderId="0" xfId="0" applyFill="1"/>
    <xf numFmtId="0" fontId="13" fillId="0" borderId="1" xfId="0" quotePrefix="1" applyFont="1" applyBorder="1" applyAlignment="1" applyProtection="1">
      <alignment horizontal="center" vertical="center" wrapText="1"/>
      <protection locked="0"/>
    </xf>
    <xf numFmtId="0" fontId="7"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5" fillId="4" borderId="13" xfId="0" applyFont="1" applyFill="1" applyBorder="1" applyProtection="1"/>
    <xf numFmtId="0" fontId="13" fillId="12" borderId="4" xfId="0" applyFont="1" applyFill="1" applyBorder="1" applyAlignment="1" applyProtection="1">
      <alignment horizontal="center" vertical="center" wrapText="1"/>
      <protection locked="0"/>
    </xf>
    <xf numFmtId="0" fontId="1" fillId="12" borderId="46" xfId="0" applyFont="1" applyFill="1" applyBorder="1"/>
    <xf numFmtId="164" fontId="1" fillId="12" borderId="46" xfId="0" applyNumberFormat="1" applyFont="1" applyFill="1" applyBorder="1"/>
    <xf numFmtId="169" fontId="1" fillId="12" borderId="41" xfId="0" applyNumberFormat="1" applyFont="1" applyFill="1" applyBorder="1"/>
    <xf numFmtId="170" fontId="0" fillId="0" borderId="1" xfId="9" applyNumberFormat="1" applyFont="1" applyFill="1" applyBorder="1" applyAlignment="1">
      <alignment vertical="center"/>
    </xf>
    <xf numFmtId="0" fontId="34" fillId="2" borderId="1"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0" fillId="0" borderId="0" xfId="0" applyAlignment="1">
      <alignment horizontal="left"/>
    </xf>
    <xf numFmtId="0" fontId="34" fillId="2" borderId="1" xfId="0" applyFont="1" applyFill="1" applyBorder="1" applyAlignment="1">
      <alignment horizontal="left" vertical="center"/>
    </xf>
    <xf numFmtId="9" fontId="6" fillId="5" borderId="1" xfId="11" applyFont="1" applyFill="1" applyBorder="1" applyAlignment="1" applyProtection="1">
      <alignment vertical="center" wrapText="1"/>
      <protection hidden="1"/>
    </xf>
    <xf numFmtId="0" fontId="1" fillId="0" borderId="0" xfId="0" applyFont="1"/>
    <xf numFmtId="0" fontId="35" fillId="2" borderId="21" xfId="0" applyFont="1" applyFill="1" applyBorder="1" applyAlignment="1">
      <alignment horizontal="left"/>
    </xf>
    <xf numFmtId="0" fontId="36" fillId="0" borderId="0" xfId="0" applyFont="1"/>
    <xf numFmtId="0" fontId="3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1" fillId="0" borderId="48" xfId="0" applyFont="1" applyBorder="1" applyAlignment="1">
      <alignment horizontal="left"/>
    </xf>
    <xf numFmtId="0" fontId="1" fillId="0" borderId="48" xfId="0" applyFont="1" applyBorder="1" applyAlignment="1">
      <alignment horizontal="left" wrapText="1"/>
    </xf>
    <xf numFmtId="0" fontId="1" fillId="0" borderId="49" xfId="0" applyFont="1" applyBorder="1" applyAlignment="1">
      <alignment horizontal="left"/>
    </xf>
    <xf numFmtId="0" fontId="1" fillId="0" borderId="49" xfId="0" applyFont="1" applyBorder="1" applyAlignment="1">
      <alignment horizontal="left" wrapText="1"/>
    </xf>
    <xf numFmtId="0" fontId="35" fillId="2" borderId="21" xfId="0" applyFont="1" applyFill="1" applyBorder="1" applyAlignment="1">
      <alignment horizontal="left" wrapText="1"/>
    </xf>
    <xf numFmtId="0" fontId="1" fillId="0" borderId="47" xfId="0" applyFont="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left" wrapText="1"/>
    </xf>
    <xf numFmtId="0" fontId="38" fillId="0" borderId="0" xfId="0" applyFont="1"/>
    <xf numFmtId="0" fontId="35" fillId="2" borderId="26" xfId="0" applyFont="1" applyFill="1" applyBorder="1" applyAlignment="1">
      <alignment horizontal="left" wrapText="1"/>
    </xf>
    <xf numFmtId="0" fontId="1" fillId="0" borderId="32" xfId="0" applyFont="1" applyBorder="1" applyAlignment="1">
      <alignment horizontal="left" wrapText="1"/>
    </xf>
    <xf numFmtId="0" fontId="1" fillId="0" borderId="33" xfId="0" applyFont="1" applyBorder="1" applyAlignment="1">
      <alignment horizontal="left" wrapText="1"/>
    </xf>
    <xf numFmtId="9" fontId="38" fillId="0" borderId="0" xfId="11" applyFont="1"/>
    <xf numFmtId="0" fontId="1" fillId="0" borderId="33" xfId="0" applyFont="1" applyBorder="1" applyAlignment="1">
      <alignment horizontal="left" wrapText="1"/>
    </xf>
    <xf numFmtId="0" fontId="35" fillId="2" borderId="26" xfId="0" applyFont="1" applyFill="1" applyBorder="1" applyAlignment="1">
      <alignment horizontal="left"/>
    </xf>
    <xf numFmtId="0" fontId="1" fillId="0" borderId="34" xfId="0" applyFont="1" applyBorder="1" applyAlignment="1">
      <alignment horizontal="left" wrapText="1"/>
    </xf>
    <xf numFmtId="0" fontId="1" fillId="0" borderId="29" xfId="0" applyFont="1" applyBorder="1" applyAlignment="1">
      <alignment horizontal="left" wrapText="1"/>
    </xf>
    <xf numFmtId="0" fontId="1" fillId="0" borderId="32" xfId="0" applyFont="1" applyBorder="1" applyAlignment="1">
      <alignment horizontal="left"/>
    </xf>
    <xf numFmtId="0" fontId="38" fillId="0" borderId="0" xfId="0" applyFont="1" applyBorder="1"/>
    <xf numFmtId="0" fontId="1" fillId="0" borderId="0" xfId="0" applyFont="1" applyBorder="1"/>
    <xf numFmtId="0" fontId="0" fillId="0" borderId="0" xfId="0" applyBorder="1"/>
    <xf numFmtId="0" fontId="1" fillId="0" borderId="50" xfId="0" applyFont="1" applyBorder="1" applyAlignment="1">
      <alignment horizontal="left" wrapText="1"/>
    </xf>
    <xf numFmtId="0" fontId="1" fillId="0" borderId="25" xfId="0" applyFont="1" applyBorder="1" applyAlignment="1">
      <alignment horizontal="left" wrapText="1"/>
    </xf>
    <xf numFmtId="0" fontId="35" fillId="2" borderId="22" xfId="0" applyFont="1" applyFill="1" applyBorder="1" applyAlignment="1">
      <alignment horizontal="left" wrapText="1"/>
    </xf>
    <xf numFmtId="0" fontId="1" fillId="0" borderId="35" xfId="0" applyFont="1" applyBorder="1" applyAlignment="1">
      <alignment horizontal="left" wrapText="1"/>
    </xf>
    <xf numFmtId="0" fontId="1" fillId="0" borderId="31" xfId="0" applyFont="1" applyBorder="1" applyAlignment="1">
      <alignment horizontal="left" wrapText="1"/>
    </xf>
    <xf numFmtId="0" fontId="35" fillId="2" borderId="51" xfId="0" applyFont="1" applyFill="1" applyBorder="1" applyAlignment="1">
      <alignment horizontal="left"/>
    </xf>
    <xf numFmtId="0" fontId="1" fillId="0" borderId="1" xfId="0" applyFont="1" applyBorder="1" applyAlignment="1">
      <alignment horizontal="left"/>
    </xf>
    <xf numFmtId="0" fontId="1" fillId="0" borderId="52" xfId="0" applyFont="1" applyBorder="1" applyAlignment="1">
      <alignment horizontal="left"/>
    </xf>
    <xf numFmtId="0" fontId="1" fillId="0" borderId="28" xfId="0" applyFont="1" applyBorder="1" applyAlignment="1">
      <alignment horizontal="left" wrapText="1"/>
    </xf>
    <xf numFmtId="0" fontId="1" fillId="0" borderId="33" xfId="0" applyFont="1" applyBorder="1" applyAlignment="1">
      <alignment horizontal="left" wrapText="1"/>
    </xf>
    <xf numFmtId="0" fontId="1" fillId="0" borderId="31" xfId="0" applyFont="1" applyBorder="1" applyAlignment="1">
      <alignment horizontal="left" wrapText="1"/>
    </xf>
    <xf numFmtId="0" fontId="1" fillId="0" borderId="5" xfId="0" applyFont="1" applyFill="1" applyBorder="1" applyAlignment="1">
      <alignment horizontal="right" vertical="center"/>
    </xf>
    <xf numFmtId="0" fontId="1" fillId="0" borderId="53" xfId="0" applyFont="1" applyFill="1" applyBorder="1" applyAlignment="1">
      <alignment horizontal="right" vertical="center"/>
    </xf>
    <xf numFmtId="0" fontId="0" fillId="0" borderId="54" xfId="0" applyBorder="1" applyAlignment="1">
      <alignment horizontal="right"/>
    </xf>
    <xf numFmtId="0" fontId="1" fillId="0" borderId="39" xfId="0" applyFont="1" applyFill="1" applyBorder="1" applyAlignment="1">
      <alignment horizontal="right" vertical="center"/>
    </xf>
    <xf numFmtId="0" fontId="1" fillId="12" borderId="40" xfId="0" applyNumberFormat="1" applyFont="1" applyFill="1" applyBorder="1"/>
    <xf numFmtId="0" fontId="0" fillId="0" borderId="0" xfId="0" applyFont="1" applyAlignment="1">
      <alignment horizontal="left"/>
    </xf>
    <xf numFmtId="0" fontId="0" fillId="2" borderId="41" xfId="0" applyFill="1" applyBorder="1" applyAlignment="1">
      <alignment horizontal="center"/>
    </xf>
    <xf numFmtId="0" fontId="0" fillId="12" borderId="57" xfId="0" applyFont="1" applyFill="1" applyBorder="1" applyAlignment="1">
      <alignment horizontal="center"/>
    </xf>
    <xf numFmtId="0" fontId="0" fillId="12" borderId="59" xfId="0" applyFont="1" applyFill="1" applyBorder="1" applyAlignment="1">
      <alignment horizontal="center"/>
    </xf>
    <xf numFmtId="0" fontId="0" fillId="12" borderId="56" xfId="0" applyFont="1" applyFill="1" applyBorder="1" applyAlignment="1">
      <alignment horizontal="center"/>
    </xf>
    <xf numFmtId="0" fontId="0" fillId="2" borderId="56" xfId="0" applyFill="1" applyBorder="1" applyAlignment="1">
      <alignment horizontal="center"/>
    </xf>
    <xf numFmtId="0" fontId="0" fillId="2" borderId="30" xfId="0" applyFill="1" applyBorder="1" applyAlignment="1">
      <alignment horizontal="center"/>
    </xf>
    <xf numFmtId="0" fontId="0" fillId="2" borderId="42" xfId="0" applyFill="1" applyBorder="1"/>
    <xf numFmtId="0" fontId="0" fillId="2" borderId="30" xfId="0" applyFill="1" applyBorder="1"/>
    <xf numFmtId="0" fontId="1" fillId="12" borderId="8" xfId="0" applyFont="1" applyFill="1" applyBorder="1"/>
    <xf numFmtId="0" fontId="0" fillId="8" borderId="3" xfId="0" applyFill="1" applyBorder="1"/>
    <xf numFmtId="0" fontId="0" fillId="8" borderId="30" xfId="0" applyFill="1" applyBorder="1"/>
    <xf numFmtId="0" fontId="0" fillId="2" borderId="54" xfId="0" applyFill="1" applyBorder="1" applyAlignment="1">
      <alignment horizontal="center"/>
    </xf>
    <xf numFmtId="0" fontId="0" fillId="12" borderId="57" xfId="0" applyFont="1" applyFill="1" applyBorder="1" applyAlignment="1">
      <alignment horizontal="right" wrapText="1"/>
    </xf>
    <xf numFmtId="0" fontId="0" fillId="12" borderId="58" xfId="0" applyFont="1" applyFill="1" applyBorder="1" applyAlignment="1">
      <alignment horizontal="right" wrapText="1"/>
    </xf>
    <xf numFmtId="0" fontId="12" fillId="12" borderId="10" xfId="0" applyFont="1" applyFill="1" applyBorder="1" applyAlignment="1">
      <alignment horizontal="right"/>
    </xf>
    <xf numFmtId="0" fontId="0" fillId="12" borderId="8" xfId="0" applyFont="1" applyFill="1" applyBorder="1" applyAlignment="1">
      <alignment horizontal="right"/>
    </xf>
    <xf numFmtId="0" fontId="0" fillId="12" borderId="47" xfId="0" applyFont="1" applyFill="1" applyBorder="1" applyAlignment="1">
      <alignment horizontal="right"/>
    </xf>
    <xf numFmtId="0" fontId="1" fillId="8" borderId="59" xfId="0" applyFont="1" applyFill="1" applyBorder="1" applyAlignment="1">
      <alignment horizontal="right" wrapText="1"/>
    </xf>
    <xf numFmtId="0" fontId="1" fillId="8" borderId="40" xfId="0" applyFont="1" applyFill="1" applyBorder="1" applyAlignment="1">
      <alignment horizontal="right" wrapText="1"/>
    </xf>
    <xf numFmtId="0" fontId="38" fillId="8" borderId="5" xfId="0" applyFont="1" applyFill="1" applyBorder="1" applyAlignment="1">
      <alignment horizontal="right"/>
    </xf>
    <xf numFmtId="0" fontId="1" fillId="8" borderId="3" xfId="0" applyFont="1" applyFill="1" applyBorder="1" applyAlignment="1">
      <alignment horizontal="right"/>
    </xf>
    <xf numFmtId="0" fontId="0" fillId="12" borderId="48" xfId="0" applyFont="1" applyFill="1" applyBorder="1" applyAlignment="1">
      <alignment horizontal="right"/>
    </xf>
    <xf numFmtId="0" fontId="1" fillId="8" borderId="56" xfId="0" applyFont="1" applyFill="1" applyBorder="1" applyAlignment="1">
      <alignment horizontal="right" wrapText="1"/>
    </xf>
    <xf numFmtId="0" fontId="1" fillId="8" borderId="41" xfId="0" applyFont="1" applyFill="1" applyBorder="1" applyAlignment="1">
      <alignment horizontal="right" wrapText="1"/>
    </xf>
    <xf numFmtId="0" fontId="38" fillId="8" borderId="54" xfId="0" applyFont="1" applyFill="1" applyBorder="1" applyAlignment="1">
      <alignment horizontal="right"/>
    </xf>
    <xf numFmtId="0" fontId="1" fillId="8" borderId="30" xfId="0" applyFont="1" applyFill="1" applyBorder="1" applyAlignment="1">
      <alignment horizontal="right"/>
    </xf>
    <xf numFmtId="0" fontId="0" fillId="12" borderId="49" xfId="0" applyFont="1" applyFill="1" applyBorder="1" applyAlignment="1">
      <alignment horizontal="right"/>
    </xf>
    <xf numFmtId="164" fontId="0" fillId="12" borderId="57" xfId="0" applyNumberFormat="1" applyFont="1" applyFill="1" applyBorder="1" applyAlignment="1">
      <alignment horizontal="right"/>
    </xf>
    <xf numFmtId="0" fontId="0" fillId="12" borderId="59" xfId="0" applyFont="1" applyFill="1" applyBorder="1" applyAlignment="1">
      <alignment horizontal="right"/>
    </xf>
    <xf numFmtId="0" fontId="0" fillId="12" borderId="56" xfId="0" applyFont="1" applyFill="1" applyBorder="1" applyAlignment="1">
      <alignment horizontal="right"/>
    </xf>
    <xf numFmtId="0" fontId="0" fillId="12" borderId="41" xfId="0" applyFont="1" applyFill="1" applyBorder="1" applyAlignment="1">
      <alignment horizontal="center"/>
    </xf>
    <xf numFmtId="164" fontId="0" fillId="12" borderId="58" xfId="0" applyNumberFormat="1" applyFont="1" applyFill="1" applyBorder="1" applyAlignment="1">
      <alignment horizontal="center"/>
    </xf>
    <xf numFmtId="0" fontId="0" fillId="12" borderId="62" xfId="0" applyFont="1" applyFill="1" applyBorder="1" applyAlignment="1">
      <alignment horizontal="left"/>
    </xf>
    <xf numFmtId="0" fontId="0" fillId="12" borderId="51" xfId="0" applyFill="1" applyBorder="1"/>
    <xf numFmtId="0" fontId="1" fillId="12" borderId="51" xfId="0" applyFont="1" applyFill="1" applyBorder="1" applyAlignment="1">
      <alignment horizontal="left" wrapText="1"/>
    </xf>
    <xf numFmtId="0" fontId="38" fillId="12" borderId="51" xfId="0" applyFont="1" applyFill="1" applyBorder="1"/>
    <xf numFmtId="0" fontId="1" fillId="12" borderId="51" xfId="0" applyFont="1" applyFill="1" applyBorder="1"/>
    <xf numFmtId="0" fontId="0" fillId="8" borderId="63" xfId="0" applyFill="1" applyBorder="1"/>
    <xf numFmtId="0" fontId="13" fillId="2" borderId="1" xfId="0" applyFont="1" applyFill="1" applyBorder="1" applyAlignment="1">
      <alignment vertical="center" wrapText="1"/>
    </xf>
    <xf numFmtId="0" fontId="13" fillId="5" borderId="1" xfId="9" applyNumberFormat="1" applyFont="1" applyFill="1" applyBorder="1" applyAlignment="1" applyProtection="1">
      <alignment vertical="center" wrapText="1"/>
      <protection hidden="1"/>
    </xf>
    <xf numFmtId="0" fontId="39" fillId="0" borderId="0" xfId="0" applyFont="1"/>
    <xf numFmtId="0" fontId="20" fillId="2" borderId="3" xfId="0" applyFont="1" applyFill="1" applyBorder="1" applyAlignment="1">
      <alignment vertical="center"/>
    </xf>
    <xf numFmtId="0" fontId="20" fillId="2" borderId="4" xfId="0" applyFont="1" applyFill="1" applyBorder="1" applyAlignment="1">
      <alignment vertical="center"/>
    </xf>
    <xf numFmtId="0" fontId="20" fillId="2" borderId="5" xfId="0" applyFont="1" applyFill="1" applyBorder="1" applyAlignment="1">
      <alignment vertical="center"/>
    </xf>
    <xf numFmtId="0" fontId="1" fillId="8" borderId="1" xfId="0" applyFont="1" applyFill="1" applyBorder="1" applyAlignment="1">
      <alignment horizontal="center" vertical="center"/>
    </xf>
    <xf numFmtId="0" fontId="38" fillId="5" borderId="1" xfId="9" applyNumberFormat="1" applyFont="1" applyFill="1" applyBorder="1" applyAlignment="1" applyProtection="1">
      <alignment horizontal="center" vertical="center" wrapText="1"/>
      <protection hidden="1"/>
    </xf>
    <xf numFmtId="0" fontId="0" fillId="0" borderId="0" xfId="0" applyAlignment="1">
      <alignment horizontal="center"/>
    </xf>
    <xf numFmtId="0" fontId="0" fillId="0" borderId="0" xfId="0" applyAlignment="1">
      <alignment horizontal="center" vertical="center"/>
    </xf>
    <xf numFmtId="164" fontId="0" fillId="0" borderId="0" xfId="0" applyNumberFormat="1" applyAlignment="1">
      <alignment horizontal="center"/>
    </xf>
    <xf numFmtId="1" fontId="0" fillId="0" borderId="0" xfId="0" applyNumberFormat="1" applyAlignment="1">
      <alignment horizontal="center"/>
    </xf>
    <xf numFmtId="164" fontId="0" fillId="0" borderId="0" xfId="0" quotePrefix="1" applyNumberFormat="1" applyAlignment="1">
      <alignment horizontal="center"/>
    </xf>
    <xf numFmtId="1" fontId="0" fillId="0" borderId="0" xfId="0" quotePrefix="1" applyNumberFormat="1" applyAlignment="1">
      <alignment horizontal="center"/>
    </xf>
    <xf numFmtId="0" fontId="0" fillId="0" borderId="0" xfId="0" applyAlignment="1">
      <alignment horizontal="center" wrapText="1"/>
    </xf>
    <xf numFmtId="2" fontId="0" fillId="0" borderId="0" xfId="0" applyNumberFormat="1" applyAlignment="1">
      <alignment horizontal="center"/>
    </xf>
    <xf numFmtId="2" fontId="0" fillId="0" borderId="0" xfId="0" quotePrefix="1" applyNumberFormat="1" applyAlignment="1">
      <alignment horizontal="center"/>
    </xf>
    <xf numFmtId="0" fontId="0" fillId="0" borderId="0" xfId="0" applyAlignment="1">
      <alignment horizontal="center" vertical="center" wrapText="1"/>
    </xf>
    <xf numFmtId="2" fontId="5" fillId="6" borderId="1" xfId="8" applyNumberFormat="1" applyFill="1" applyBorder="1" applyAlignment="1">
      <alignment horizontal="center" wrapText="1"/>
    </xf>
    <xf numFmtId="164" fontId="5" fillId="6" borderId="1" xfId="8" applyNumberFormat="1" applyFill="1" applyBorder="1" applyAlignment="1">
      <alignment horizontal="center" wrapText="1"/>
    </xf>
    <xf numFmtId="0" fontId="0" fillId="10" borderId="0" xfId="0" applyFill="1" applyAlignment="1">
      <alignment horizontal="left" wrapText="1"/>
    </xf>
    <xf numFmtId="0" fontId="0" fillId="10" borderId="2" xfId="0" applyFill="1" applyBorder="1" applyAlignment="1">
      <alignment horizontal="left"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166" fontId="6" fillId="8" borderId="3" xfId="9" applyNumberFormat="1" applyFont="1" applyFill="1" applyBorder="1" applyAlignment="1" applyProtection="1">
      <alignment horizontal="center" vertical="center" wrapText="1"/>
      <protection locked="0"/>
    </xf>
    <xf numFmtId="166" fontId="6" fillId="8" borderId="5" xfId="9" applyNumberFormat="1" applyFont="1" applyFill="1" applyBorder="1" applyAlignment="1" applyProtection="1">
      <alignment horizontal="center" vertical="center" wrapText="1"/>
      <protection locked="0"/>
    </xf>
    <xf numFmtId="166" fontId="6" fillId="5" borderId="3" xfId="9" applyNumberFormat="1" applyFont="1" applyFill="1" applyBorder="1" applyAlignment="1" applyProtection="1">
      <alignment horizontal="center" vertical="center" wrapText="1"/>
      <protection hidden="1"/>
    </xf>
    <xf numFmtId="166" fontId="6" fillId="5" borderId="5" xfId="9" applyNumberFormat="1" applyFont="1" applyFill="1" applyBorder="1" applyAlignment="1" applyProtection="1">
      <alignment horizontal="center" vertical="center" wrapText="1"/>
      <protection hidden="1"/>
    </xf>
    <xf numFmtId="165" fontId="6" fillId="5" borderId="3" xfId="9" applyNumberFormat="1" applyFont="1" applyFill="1" applyBorder="1" applyAlignment="1" applyProtection="1">
      <alignment horizontal="center" vertical="center" wrapText="1"/>
      <protection hidden="1"/>
    </xf>
    <xf numFmtId="165" fontId="6" fillId="5" borderId="5" xfId="9" applyNumberFormat="1" applyFont="1" applyFill="1" applyBorder="1" applyAlignment="1" applyProtection="1">
      <alignment horizontal="center" vertical="center" wrapText="1"/>
      <protection hidden="1"/>
    </xf>
    <xf numFmtId="0" fontId="7" fillId="2" borderId="1" xfId="0" applyFont="1" applyFill="1" applyBorder="1" applyAlignment="1">
      <alignment vertical="center" wrapText="1"/>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1" fillId="8" borderId="42" xfId="0" applyFont="1" applyFill="1" applyBorder="1" applyAlignment="1">
      <alignment horizontal="center"/>
    </xf>
    <xf numFmtId="0" fontId="1" fillId="8" borderId="37" xfId="0" applyFont="1" applyFill="1" applyBorder="1" applyAlignment="1">
      <alignment horizontal="center"/>
    </xf>
    <xf numFmtId="0" fontId="1" fillId="8" borderId="38"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29" xfId="0" applyFont="1" applyFill="1" applyBorder="1" applyAlignment="1">
      <alignment horizontal="center"/>
    </xf>
    <xf numFmtId="0" fontId="1" fillId="8" borderId="30" xfId="0" applyFont="1" applyFill="1" applyBorder="1" applyAlignment="1">
      <alignment horizontal="center"/>
    </xf>
    <xf numFmtId="0" fontId="1" fillId="8" borderId="39" xfId="0" applyFont="1" applyFill="1" applyBorder="1" applyAlignment="1">
      <alignment horizontal="center"/>
    </xf>
    <xf numFmtId="0" fontId="1" fillId="8" borderId="31" xfId="0" applyFont="1" applyFill="1" applyBorder="1" applyAlignment="1">
      <alignment horizontal="center"/>
    </xf>
    <xf numFmtId="0" fontId="1" fillId="12" borderId="3" xfId="0" applyFont="1" applyFill="1" applyBorder="1" applyAlignment="1">
      <alignment horizontal="center"/>
    </xf>
    <xf numFmtId="0" fontId="1" fillId="12" borderId="29" xfId="0" applyFont="1" applyFill="1" applyBorder="1" applyAlignment="1">
      <alignment horizontal="center"/>
    </xf>
    <xf numFmtId="9" fontId="1" fillId="8" borderId="30" xfId="11" applyFont="1" applyFill="1" applyBorder="1" applyAlignment="1">
      <alignment horizontal="center"/>
    </xf>
    <xf numFmtId="9" fontId="1" fillId="8" borderId="31" xfId="11" applyFont="1" applyFill="1" applyBorder="1" applyAlignment="1">
      <alignment horizontal="center"/>
    </xf>
    <xf numFmtId="0" fontId="0" fillId="2" borderId="55" xfId="0" applyFill="1" applyBorder="1" applyAlignment="1">
      <alignment horizontal="center"/>
    </xf>
    <xf numFmtId="0" fontId="0" fillId="2" borderId="61" xfId="0" applyFill="1" applyBorder="1" applyAlignment="1">
      <alignment horizontal="center"/>
    </xf>
    <xf numFmtId="0" fontId="0" fillId="2" borderId="53" xfId="0" applyFill="1" applyBorder="1" applyAlignment="1">
      <alignment horizontal="center"/>
    </xf>
    <xf numFmtId="0" fontId="0" fillId="2" borderId="42" xfId="0" applyFill="1" applyBorder="1" applyAlignment="1">
      <alignment horizontal="center"/>
    </xf>
    <xf numFmtId="0" fontId="0" fillId="2" borderId="36" xfId="0" applyFill="1" applyBorder="1" applyAlignment="1">
      <alignment horizontal="center"/>
    </xf>
    <xf numFmtId="0" fontId="0" fillId="2" borderId="38" xfId="0" applyFill="1" applyBorder="1" applyAlignment="1">
      <alignment horizontal="center"/>
    </xf>
    <xf numFmtId="0" fontId="0" fillId="2" borderId="6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55" xfId="0" applyFill="1" applyBorder="1" applyAlignment="1">
      <alignment horizontal="center" wrapText="1"/>
    </xf>
    <xf numFmtId="0" fontId="0" fillId="2" borderId="56" xfId="0" applyFill="1" applyBorder="1" applyAlignment="1">
      <alignment horizont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13" fillId="0" borderId="1" xfId="0" applyFont="1" applyBorder="1" applyAlignment="1" applyProtection="1">
      <alignment vertical="top" wrapText="1"/>
      <protection locked="0"/>
    </xf>
    <xf numFmtId="0" fontId="13" fillId="0" borderId="1" xfId="0" applyFont="1" applyBorder="1" applyAlignment="1" applyProtection="1">
      <alignment vertical="center" wrapText="1"/>
      <protection locked="0"/>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vertical="center" wrapText="1"/>
    </xf>
    <xf numFmtId="0" fontId="13" fillId="12"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textRotation="90"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12" borderId="1" xfId="0" applyFont="1" applyFill="1" applyBorder="1" applyAlignment="1" applyProtection="1">
      <alignment vertical="center" wrapText="1"/>
      <protection locked="0"/>
    </xf>
    <xf numFmtId="0" fontId="20" fillId="2" borderId="5" xfId="0" applyFont="1" applyFill="1" applyBorder="1" applyAlignment="1">
      <alignment horizontal="left"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13" fillId="13" borderId="1" xfId="0" applyFont="1" applyFill="1" applyBorder="1" applyAlignment="1" applyProtection="1">
      <alignment horizontal="center" vertical="center" wrapText="1"/>
      <protection locked="0"/>
    </xf>
    <xf numFmtId="0" fontId="13" fillId="2" borderId="19" xfId="0" applyFont="1" applyFill="1" applyBorder="1" applyAlignment="1">
      <alignment horizontal="center" vertical="center" wrapText="1"/>
    </xf>
    <xf numFmtId="0" fontId="13" fillId="14" borderId="1" xfId="0" applyFont="1" applyFill="1" applyBorder="1" applyAlignment="1" applyProtection="1">
      <alignment horizontal="center" vertical="center" wrapText="1"/>
      <protection locked="0"/>
    </xf>
    <xf numFmtId="0" fontId="13" fillId="14" borderId="44" xfId="0" applyFont="1" applyFill="1" applyBorder="1" applyAlignment="1" applyProtection="1">
      <alignment horizontal="center" vertical="center" wrapText="1"/>
      <protection locked="0"/>
    </xf>
    <xf numFmtId="0" fontId="13" fillId="14" borderId="45" xfId="0" applyFont="1" applyFill="1" applyBorder="1" applyAlignment="1" applyProtection="1">
      <alignment horizontal="center" vertical="center" wrapText="1"/>
      <protection locked="0"/>
    </xf>
    <xf numFmtId="2" fontId="13" fillId="8" borderId="3" xfId="0" applyNumberFormat="1" applyFont="1" applyFill="1" applyBorder="1" applyAlignment="1" applyProtection="1">
      <alignment horizontal="left" vertical="center" wrapText="1"/>
      <protection hidden="1"/>
    </xf>
    <xf numFmtId="2" fontId="13" fillId="8" borderId="5" xfId="0" applyNumberFormat="1" applyFont="1" applyFill="1" applyBorder="1" applyAlignment="1" applyProtection="1">
      <alignment horizontal="left" vertical="center" wrapText="1"/>
      <protection hidden="1"/>
    </xf>
    <xf numFmtId="0" fontId="13" fillId="8" borderId="3" xfId="0" applyFont="1" applyFill="1" applyBorder="1" applyAlignment="1" applyProtection="1">
      <alignment horizontal="left" vertical="center" wrapText="1"/>
      <protection locked="0"/>
    </xf>
    <xf numFmtId="0" fontId="13" fillId="8" borderId="5" xfId="0" applyFont="1" applyFill="1" applyBorder="1" applyAlignment="1" applyProtection="1">
      <alignment horizontal="left" vertical="center" wrapText="1"/>
      <protection locked="0"/>
    </xf>
    <xf numFmtId="0" fontId="13" fillId="8" borderId="8" xfId="0" applyFont="1" applyFill="1" applyBorder="1" applyAlignment="1" applyProtection="1">
      <alignment horizontal="center" vertical="center" wrapText="1"/>
      <protection locked="0"/>
    </xf>
    <xf numFmtId="0" fontId="13" fillId="8" borderId="10"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13" fillId="12" borderId="5" xfId="0" applyFont="1" applyFill="1" applyBorder="1" applyAlignment="1" applyProtection="1">
      <alignment horizontal="center" vertical="center" wrapText="1"/>
      <protection locked="0"/>
    </xf>
    <xf numFmtId="0" fontId="20" fillId="2" borderId="5" xfId="0" applyFont="1" applyFill="1" applyBorder="1" applyAlignment="1">
      <alignment horizontal="center" vertical="center"/>
    </xf>
    <xf numFmtId="0" fontId="1" fillId="0" borderId="36" xfId="0" applyFont="1" applyBorder="1" applyAlignment="1">
      <alignment horizontal="left" wrapText="1"/>
    </xf>
    <xf numFmtId="0" fontId="1" fillId="0" borderId="38" xfId="0" applyFont="1" applyBorder="1" applyAlignment="1">
      <alignment horizontal="left" wrapText="1"/>
    </xf>
    <xf numFmtId="0" fontId="1" fillId="0" borderId="50" xfId="0" applyFont="1" applyBorder="1" applyAlignment="1">
      <alignment horizontal="left" wrapText="1"/>
    </xf>
    <xf numFmtId="0" fontId="1" fillId="0" borderId="24" xfId="0" applyFont="1" applyBorder="1" applyAlignment="1">
      <alignment horizontal="left" wrapText="1"/>
    </xf>
    <xf numFmtId="0" fontId="1" fillId="0" borderId="33" xfId="0" applyFont="1" applyBorder="1" applyAlignment="1">
      <alignment horizontal="left" wrapText="1"/>
    </xf>
    <xf numFmtId="0" fontId="1" fillId="0" borderId="31" xfId="0" applyFont="1" applyBorder="1" applyAlignment="1">
      <alignment horizontal="left" wrapText="1"/>
    </xf>
    <xf numFmtId="0" fontId="4" fillId="0" borderId="26" xfId="0" applyFont="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5" fillId="0" borderId="26" xfId="0" applyFont="1" applyBorder="1" applyAlignment="1">
      <alignment horizontal="left" vertical="center" wrapText="1"/>
    </xf>
    <xf numFmtId="0" fontId="5" fillId="0" borderId="23" xfId="0" applyFont="1" applyBorder="1" applyAlignment="1">
      <alignment horizontal="left" vertical="center" wrapText="1"/>
    </xf>
    <xf numFmtId="0" fontId="5" fillId="0" borderId="22" xfId="0" applyFont="1" applyBorder="1" applyAlignment="1">
      <alignment horizontal="left" vertical="center" wrapText="1"/>
    </xf>
    <xf numFmtId="0" fontId="4" fillId="0" borderId="26" xfId="0" applyFont="1" applyBorder="1" applyAlignment="1">
      <alignment vertical="center" wrapText="1"/>
    </xf>
    <xf numFmtId="0" fontId="4" fillId="0" borderId="23" xfId="0" applyFont="1" applyBorder="1" applyAlignment="1">
      <alignment vertical="center" wrapText="1"/>
    </xf>
    <xf numFmtId="0" fontId="4" fillId="0" borderId="22" xfId="0" applyFont="1" applyBorder="1" applyAlignment="1">
      <alignment vertical="center" wrapText="1"/>
    </xf>
    <xf numFmtId="0" fontId="5" fillId="0" borderId="27"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8" xfId="0" applyFont="1" applyBorder="1" applyAlignment="1">
      <alignment vertical="center" wrapText="1"/>
    </xf>
    <xf numFmtId="0" fontId="5" fillId="0" borderId="25" xfId="0" applyFont="1" applyBorder="1" applyAlignment="1">
      <alignment vertical="center" wrapText="1"/>
    </xf>
    <xf numFmtId="0" fontId="1" fillId="0" borderId="30" xfId="0" applyFont="1" applyBorder="1" applyAlignment="1">
      <alignment horizontal="center"/>
    </xf>
    <xf numFmtId="0" fontId="1" fillId="0" borderId="31" xfId="0" applyFont="1" applyBorder="1" applyAlignment="1">
      <alignment horizontal="center"/>
    </xf>
    <xf numFmtId="0" fontId="1" fillId="0" borderId="8" xfId="0" applyFont="1" applyBorder="1" applyAlignment="1">
      <alignment horizontal="center"/>
    </xf>
    <xf numFmtId="0" fontId="1" fillId="0" borderId="35" xfId="0" applyFont="1" applyBorder="1" applyAlignment="1">
      <alignment horizontal="center"/>
    </xf>
    <xf numFmtId="0" fontId="1" fillId="0" borderId="3" xfId="0" applyFont="1" applyBorder="1" applyAlignment="1">
      <alignment horizontal="center"/>
    </xf>
    <xf numFmtId="0" fontId="1" fillId="0" borderId="29" xfId="0" applyFont="1" applyBorder="1" applyAlignment="1">
      <alignment horizontal="center"/>
    </xf>
    <xf numFmtId="0" fontId="17"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7" fillId="2" borderId="5" xfId="0" applyFont="1" applyFill="1" applyBorder="1" applyAlignment="1">
      <alignment vertical="center" wrapText="1"/>
    </xf>
    <xf numFmtId="166" fontId="6" fillId="0" borderId="3" xfId="9" applyNumberFormat="1" applyFont="1" applyBorder="1" applyAlignment="1" applyProtection="1">
      <alignment horizontal="center" vertical="center" wrapText="1"/>
      <protection locked="0"/>
    </xf>
    <xf numFmtId="166" fontId="6" fillId="0" borderId="5" xfId="9" applyNumberFormat="1" applyFont="1" applyBorder="1" applyAlignment="1" applyProtection="1">
      <alignment horizontal="center" vertical="center" wrapText="1"/>
      <protection locked="0"/>
    </xf>
    <xf numFmtId="0" fontId="6" fillId="5" borderId="15" xfId="0" applyFont="1" applyFill="1" applyBorder="1" applyAlignment="1" applyProtection="1">
      <alignment horizontal="right" wrapText="1"/>
      <protection hidden="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8" borderId="3" xfId="0" applyFont="1" applyFill="1" applyBorder="1" applyAlignment="1" applyProtection="1">
      <alignment horizontal="center" vertical="center" wrapText="1"/>
      <protection locked="0"/>
    </xf>
    <xf numFmtId="0" fontId="13" fillId="8" borderId="4" xfId="0" applyFont="1" applyFill="1" applyBorder="1" applyAlignment="1" applyProtection="1">
      <alignment horizontal="center" vertical="center" wrapText="1"/>
      <protection locked="0"/>
    </xf>
    <xf numFmtId="0" fontId="13" fillId="8" borderId="5" xfId="0" applyFont="1" applyFill="1" applyBorder="1" applyAlignment="1" applyProtection="1">
      <alignment horizontal="center" vertical="center" wrapText="1"/>
      <protection locked="0"/>
    </xf>
    <xf numFmtId="0" fontId="19" fillId="2" borderId="1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20" fillId="2" borderId="1" xfId="0" applyFont="1" applyFill="1" applyBorder="1" applyAlignment="1">
      <alignment vertical="center" wrapText="1"/>
    </xf>
    <xf numFmtId="0" fontId="2" fillId="2" borderId="15" xfId="8" applyFont="1" applyFill="1" applyBorder="1" applyAlignment="1">
      <alignment horizontal="center" vertical="center" textRotation="90" wrapText="1"/>
    </xf>
    <xf numFmtId="0" fontId="2" fillId="2" borderId="11" xfId="8" applyFont="1" applyFill="1" applyBorder="1" applyAlignment="1">
      <alignment horizontal="center" vertical="center" textRotation="90" wrapText="1"/>
    </xf>
    <xf numFmtId="0" fontId="2" fillId="2" borderId="3" xfId="8" applyFont="1" applyFill="1" applyBorder="1" applyAlignment="1">
      <alignment horizontal="right" vertical="center" wrapText="1"/>
    </xf>
    <xf numFmtId="0" fontId="2" fillId="2" borderId="4" xfId="8" applyFont="1" applyFill="1" applyBorder="1" applyAlignment="1">
      <alignment horizontal="right" vertical="center" wrapText="1"/>
    </xf>
    <xf numFmtId="0" fontId="2" fillId="2" borderId="5" xfId="8" applyFont="1" applyFill="1" applyBorder="1" applyAlignment="1">
      <alignment horizontal="right" vertical="center" wrapText="1"/>
    </xf>
    <xf numFmtId="0" fontId="5" fillId="2" borderId="1" xfId="8" applyFill="1" applyBorder="1" applyAlignment="1">
      <alignment horizontal="center" vertical="center" wrapText="1"/>
    </xf>
    <xf numFmtId="0" fontId="2" fillId="2" borderId="1" xfId="8" applyFont="1" applyFill="1" applyBorder="1" applyAlignment="1">
      <alignment horizontal="right" vertical="center" wrapText="1"/>
    </xf>
    <xf numFmtId="0" fontId="2" fillId="2" borderId="6" xfId="8" applyFont="1" applyFill="1" applyBorder="1" applyAlignment="1">
      <alignment horizontal="right" vertical="center" wrapText="1"/>
    </xf>
    <xf numFmtId="0" fontId="2" fillId="2" borderId="1" xfId="8" applyFont="1" applyFill="1" applyBorder="1" applyAlignment="1">
      <alignment horizontal="center" vertical="center" textRotation="90" wrapText="1"/>
    </xf>
    <xf numFmtId="0" fontId="2" fillId="2" borderId="7" xfId="8" applyFont="1" applyFill="1" applyBorder="1" applyAlignment="1">
      <alignment horizontal="center" vertical="center" wrapText="1"/>
    </xf>
    <xf numFmtId="0" fontId="2" fillId="2" borderId="11" xfId="8" applyFont="1" applyFill="1" applyBorder="1" applyAlignment="1">
      <alignment horizontal="center" vertical="center" wrapText="1"/>
    </xf>
    <xf numFmtId="0" fontId="2" fillId="2" borderId="9" xfId="8" applyFont="1" applyFill="1" applyBorder="1" applyAlignment="1">
      <alignment horizontal="center" vertical="center" wrapText="1"/>
    </xf>
    <xf numFmtId="0" fontId="2" fillId="2" borderId="8" xfId="8" applyFont="1" applyFill="1" applyBorder="1" applyAlignment="1">
      <alignment horizontal="right" vertical="center" wrapText="1"/>
    </xf>
    <xf numFmtId="0" fontId="2" fillId="2" borderId="2" xfId="8" applyFont="1" applyFill="1" applyBorder="1" applyAlignment="1">
      <alignment horizontal="right" vertical="center" wrapText="1"/>
    </xf>
    <xf numFmtId="0" fontId="2" fillId="2" borderId="17" xfId="8" applyFont="1" applyFill="1" applyBorder="1" applyAlignment="1">
      <alignment horizontal="right" vertical="center" wrapText="1"/>
    </xf>
    <xf numFmtId="0" fontId="2" fillId="2" borderId="18" xfId="8" applyFont="1" applyFill="1" applyBorder="1" applyAlignment="1">
      <alignment horizontal="right" vertical="center" wrapText="1"/>
    </xf>
    <xf numFmtId="0" fontId="4" fillId="2" borderId="1" xfId="8" applyFont="1" applyFill="1" applyBorder="1" applyAlignment="1">
      <alignment horizontal="center" vertical="center"/>
    </xf>
    <xf numFmtId="0" fontId="2" fillId="2" borderId="15" xfId="8" applyFont="1" applyFill="1" applyBorder="1" applyAlignment="1">
      <alignment horizontal="center" vertical="center" wrapText="1"/>
    </xf>
    <xf numFmtId="0" fontId="2" fillId="2" borderId="15" xfId="8" applyFont="1" applyFill="1" applyBorder="1" applyAlignment="1">
      <alignment horizontal="center" wrapText="1"/>
    </xf>
    <xf numFmtId="0" fontId="2" fillId="2" borderId="16" xfId="8" applyFont="1" applyFill="1" applyBorder="1" applyAlignment="1">
      <alignment horizontal="center" wrapText="1"/>
    </xf>
    <xf numFmtId="2" fontId="13" fillId="5" borderId="3" xfId="8" applyNumberFormat="1" applyFont="1" applyFill="1" applyBorder="1" applyAlignment="1" applyProtection="1">
      <alignment horizontal="center" wrapText="1"/>
      <protection hidden="1"/>
    </xf>
    <xf numFmtId="2" fontId="13" fillId="5" borderId="5" xfId="8" applyNumberFormat="1" applyFont="1" applyFill="1" applyBorder="1" applyAlignment="1" applyProtection="1">
      <alignment horizontal="center" wrapText="1"/>
      <protection hidden="1"/>
    </xf>
    <xf numFmtId="0" fontId="13" fillId="0" borderId="3"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2" fontId="13" fillId="5" borderId="3" xfId="0" applyNumberFormat="1" applyFont="1" applyFill="1" applyBorder="1" applyAlignment="1" applyProtection="1">
      <alignment horizontal="center" vertical="center" wrapText="1"/>
      <protection hidden="1"/>
    </xf>
    <xf numFmtId="2" fontId="13" fillId="5" borderId="5" xfId="0" applyNumberFormat="1" applyFont="1" applyFill="1" applyBorder="1" applyAlignment="1" applyProtection="1">
      <alignment horizontal="center" vertical="center" wrapText="1"/>
      <protection hidden="1"/>
    </xf>
    <xf numFmtId="0" fontId="19" fillId="2" borderId="4"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10" xfId="0" applyFont="1" applyFill="1" applyBorder="1" applyAlignment="1">
      <alignment horizontal="center" vertical="center"/>
    </xf>
    <xf numFmtId="0" fontId="13" fillId="7" borderId="1" xfId="0" applyFont="1" applyFill="1" applyBorder="1" applyAlignment="1" applyProtection="1">
      <alignment horizontal="center" vertical="center" wrapText="1"/>
      <protection locked="0"/>
    </xf>
    <xf numFmtId="2" fontId="13" fillId="5" borderId="3" xfId="0" applyNumberFormat="1" applyFont="1" applyFill="1" applyBorder="1" applyAlignment="1" applyProtection="1">
      <alignment horizontal="left" vertical="center" wrapText="1"/>
      <protection hidden="1"/>
    </xf>
    <xf numFmtId="2" fontId="13" fillId="5" borderId="4" xfId="0" applyNumberFormat="1" applyFont="1" applyFill="1" applyBorder="1" applyAlignment="1" applyProtection="1">
      <alignment horizontal="left" vertical="center" wrapText="1"/>
      <protection hidden="1"/>
    </xf>
    <xf numFmtId="2" fontId="13" fillId="5" borderId="5" xfId="0" applyNumberFormat="1" applyFont="1" applyFill="1" applyBorder="1" applyAlignment="1" applyProtection="1">
      <alignment horizontal="left" vertical="center" wrapText="1"/>
      <protection hidden="1"/>
    </xf>
    <xf numFmtId="0" fontId="13" fillId="0" borderId="1" xfId="0" applyFont="1" applyFill="1" applyBorder="1" applyAlignment="1" applyProtection="1">
      <alignment horizontal="center" vertical="center" wrapText="1"/>
      <protection locked="0"/>
    </xf>
    <xf numFmtId="0" fontId="13" fillId="2" borderId="20" xfId="0" applyFont="1" applyFill="1" applyBorder="1" applyAlignment="1">
      <alignment horizontal="center" vertical="center" wrapText="1"/>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8" borderId="4" xfId="0" applyFont="1" applyFill="1" applyBorder="1" applyAlignment="1" applyProtection="1">
      <alignment horizontal="left" vertical="center" wrapText="1"/>
      <protection locked="0"/>
    </xf>
    <xf numFmtId="0" fontId="13" fillId="0" borderId="15"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cellXfs>
  <cellStyles count="13">
    <cellStyle name="Comma" xfId="9" builtinId="3"/>
    <cellStyle name="Currency" xfId="10" builtinId="4"/>
    <cellStyle name="Hyperlink" xfId="12" builtinId="8"/>
    <cellStyle name="Normal" xfId="0" builtinId="0"/>
    <cellStyle name="Normal 2" xfId="1"/>
    <cellStyle name="Normal 3" xfId="2"/>
    <cellStyle name="Normal 3 2" xfId="3"/>
    <cellStyle name="Normal 3 3" xfId="4"/>
    <cellStyle name="Normal 3 4" xfId="5"/>
    <cellStyle name="Normal 4" xfId="6"/>
    <cellStyle name="Normal 5" xfId="8"/>
    <cellStyle name="Normal 5 2" xfId="7"/>
    <cellStyle name="Percent" xfId="11" builtinId="5"/>
  </cellStyles>
  <dxfs count="1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59996337778862885"/>
        </patternFill>
      </fill>
    </dxf>
    <dxf>
      <fill>
        <patternFill>
          <bgColor theme="6" tint="0.59996337778862885"/>
        </patternFill>
      </fill>
    </dxf>
    <dxf>
      <fill>
        <patternFill>
          <bgColor rgb="FFFF0000"/>
        </patternFill>
      </fill>
    </dxf>
    <dxf>
      <fill>
        <patternFill>
          <bgColor rgb="FFFF0000"/>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strike val="0"/>
        <color theme="1" tint="0.34998626667073579"/>
      </font>
      <fill>
        <patternFill>
          <bgColor theme="0" tint="-0.14996795556505021"/>
        </patternFill>
      </fill>
    </dxf>
    <dxf>
      <font>
        <color rgb="FF006100"/>
      </font>
      <fill>
        <patternFill>
          <bgColor rgb="FFC6EFCE"/>
        </patternFill>
      </fill>
    </dxf>
    <dxf>
      <fill>
        <patternFill>
          <bgColor theme="0" tint="-0.34998626667073579"/>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7.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xdr:colOff>
      <xdr:row>34</xdr:row>
      <xdr:rowOff>6158</xdr:rowOff>
    </xdr:from>
    <xdr:to>
      <xdr:col>8</xdr:col>
      <xdr:colOff>1344058</xdr:colOff>
      <xdr:row>48</xdr:row>
      <xdr:rowOff>106679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68579" y="6643178"/>
          <a:ext cx="7043819" cy="2660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17</xdr:row>
      <xdr:rowOff>152400</xdr:rowOff>
    </xdr:from>
    <xdr:to>
      <xdr:col>13</xdr:col>
      <xdr:colOff>781050</xdr:colOff>
      <xdr:row>24</xdr:row>
      <xdr:rowOff>114300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52400" y="5238750"/>
          <a:ext cx="706755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Arial" panose="020B0604020202020204" pitchFamily="34" charset="0"/>
              <a:ea typeface="+mn-ea"/>
              <a:cs typeface="Arial" panose="020B0604020202020204" pitchFamily="34" charset="0"/>
            </a:rPr>
            <a:t>How were the Proposed case framed assembly fenestration U-factors determined? (Choose one)</a:t>
          </a:r>
        </a:p>
        <a:p>
          <a:r>
            <a:rPr lang="en-US" sz="1000">
              <a:solidFill>
                <a:schemeClr val="dk1"/>
              </a:solidFill>
              <a:effectLst/>
              <a:latin typeface="Arial" panose="020B0604020202020204" pitchFamily="34" charset="0"/>
              <a:ea typeface="+mn-ea"/>
              <a:cs typeface="Arial" panose="020B0604020202020204" pitchFamily="34" charset="0"/>
            </a:rPr>
            <a:t>☐NFRC testing for site-assembled fenestration</a:t>
          </a:r>
        </a:p>
        <a:p>
          <a:r>
            <a:rPr lang="en-US" sz="1000">
              <a:solidFill>
                <a:schemeClr val="dk1"/>
              </a:solidFill>
              <a:effectLst/>
              <a:latin typeface="Arial" panose="020B0604020202020204" pitchFamily="34" charset="0"/>
              <a:ea typeface="+mn-ea"/>
              <a:cs typeface="Arial" panose="020B0604020202020204" pitchFamily="34" charset="0"/>
            </a:rPr>
            <a:t>☐NFRC testing for manufactured fenestration assemblies</a:t>
          </a:r>
        </a:p>
        <a:p>
          <a:r>
            <a:rPr lang="en-US" sz="1000">
              <a:solidFill>
                <a:schemeClr val="dk1"/>
              </a:solidFill>
              <a:effectLst/>
              <a:latin typeface="Arial" panose="020B0604020202020204" pitchFamily="34" charset="0"/>
              <a:ea typeface="+mn-ea"/>
              <a:cs typeface="Arial" panose="020B0604020202020204" pitchFamily="34" charset="0"/>
            </a:rPr>
            <a:t>☐Table A8.2 (windows) and Table A8.1 (skylights)</a:t>
          </a:r>
        </a:p>
        <a:p>
          <a:r>
            <a:rPr lang="en-US" sz="1000">
              <a:solidFill>
                <a:schemeClr val="dk1"/>
              </a:solidFill>
              <a:effectLst/>
              <a:latin typeface="Arial" panose="020B0604020202020204" pitchFamily="34" charset="0"/>
              <a:ea typeface="+mn-ea"/>
              <a:cs typeface="Arial" panose="020B0604020202020204" pitchFamily="34" charset="0"/>
            </a:rPr>
            <a:t>☐LBNL Window 5 or Window 6 calculations</a:t>
          </a:r>
        </a:p>
        <a:p>
          <a:r>
            <a:rPr lang="en-US" sz="1000">
              <a:solidFill>
                <a:schemeClr val="dk1"/>
              </a:solidFill>
              <a:effectLst/>
              <a:latin typeface="Arial" panose="020B0604020202020204" pitchFamily="34" charset="0"/>
              <a:ea typeface="+mn-ea"/>
              <a:cs typeface="Arial" panose="020B0604020202020204" pitchFamily="34" charset="0"/>
            </a:rPr>
            <a:t>☐Energy simulation includes separate frame and glazing</a:t>
          </a:r>
        </a:p>
        <a:p>
          <a:r>
            <a:rPr lang="en-US" sz="1000">
              <a:solidFill>
                <a:schemeClr val="dk1"/>
              </a:solidFill>
              <a:effectLst/>
              <a:latin typeface="Arial" panose="020B0604020202020204" pitchFamily="34" charset="0"/>
              <a:ea typeface="+mn-ea"/>
              <a:cs typeface="Arial" panose="020B0604020202020204" pitchFamily="34" charset="0"/>
            </a:rPr>
            <a:t>☐Other (Describe)_________________________</a:t>
          </a:r>
        </a:p>
        <a:p>
          <a:endParaRPr lang="en-US" sz="1100"/>
        </a:p>
      </xdr:txBody>
    </xdr:sp>
    <xdr:clientData/>
  </xdr:twoCellAnchor>
  <xdr:twoCellAnchor>
    <xdr:from>
      <xdr:col>0</xdr:col>
      <xdr:colOff>175260</xdr:colOff>
      <xdr:row>17</xdr:row>
      <xdr:rowOff>152400</xdr:rowOff>
    </xdr:from>
    <xdr:to>
      <xdr:col>13</xdr:col>
      <xdr:colOff>803910</xdr:colOff>
      <xdr:row>24</xdr:row>
      <xdr:rowOff>114300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75260" y="3832860"/>
          <a:ext cx="7456170" cy="1242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Arial" panose="020B0604020202020204" pitchFamily="34" charset="0"/>
              <a:ea typeface="+mn-ea"/>
              <a:cs typeface="Arial" panose="020B0604020202020204" pitchFamily="34" charset="0"/>
            </a:rPr>
            <a:t>How were the Proposed case framed assembly fenestration U-factors determined? (Choose one)</a:t>
          </a:r>
        </a:p>
        <a:p>
          <a:r>
            <a:rPr lang="en-US" sz="1000">
              <a:solidFill>
                <a:schemeClr val="dk1"/>
              </a:solidFill>
              <a:effectLst/>
              <a:latin typeface="Arial" panose="020B0604020202020204" pitchFamily="34" charset="0"/>
              <a:ea typeface="+mn-ea"/>
              <a:cs typeface="Arial" panose="020B0604020202020204" pitchFamily="34" charset="0"/>
            </a:rPr>
            <a:t>☐NFRC testing for site-assembled fenestration</a:t>
          </a:r>
        </a:p>
        <a:p>
          <a:r>
            <a:rPr lang="en-US" sz="1000">
              <a:solidFill>
                <a:schemeClr val="dk1"/>
              </a:solidFill>
              <a:effectLst/>
              <a:latin typeface="Arial" panose="020B0604020202020204" pitchFamily="34" charset="0"/>
              <a:ea typeface="+mn-ea"/>
              <a:cs typeface="Arial" panose="020B0604020202020204" pitchFamily="34" charset="0"/>
            </a:rPr>
            <a:t>☐NFRC testing for manufactured fenestration assemblies</a:t>
          </a:r>
        </a:p>
        <a:p>
          <a:r>
            <a:rPr lang="en-US" sz="1000">
              <a:solidFill>
                <a:schemeClr val="dk1"/>
              </a:solidFill>
              <a:effectLst/>
              <a:latin typeface="Arial" panose="020B0604020202020204" pitchFamily="34" charset="0"/>
              <a:ea typeface="+mn-ea"/>
              <a:cs typeface="Arial" panose="020B0604020202020204" pitchFamily="34" charset="0"/>
            </a:rPr>
            <a:t>☐Table A8.2 (windows) and Table A8.1 (skylights)</a:t>
          </a:r>
        </a:p>
        <a:p>
          <a:r>
            <a:rPr lang="en-US" sz="1000">
              <a:solidFill>
                <a:schemeClr val="dk1"/>
              </a:solidFill>
              <a:effectLst/>
              <a:latin typeface="Arial" panose="020B0604020202020204" pitchFamily="34" charset="0"/>
              <a:ea typeface="+mn-ea"/>
              <a:cs typeface="Arial" panose="020B0604020202020204" pitchFamily="34" charset="0"/>
            </a:rPr>
            <a:t>☐LBNL Window 5 or Window 6 calculations</a:t>
          </a:r>
        </a:p>
        <a:p>
          <a:r>
            <a:rPr lang="en-US" sz="1000">
              <a:solidFill>
                <a:schemeClr val="dk1"/>
              </a:solidFill>
              <a:effectLst/>
              <a:latin typeface="Arial" panose="020B0604020202020204" pitchFamily="34" charset="0"/>
              <a:ea typeface="+mn-ea"/>
              <a:cs typeface="Arial" panose="020B0604020202020204" pitchFamily="34" charset="0"/>
            </a:rPr>
            <a:t>☐Energy simulation includes separate frame and glazing</a:t>
          </a:r>
        </a:p>
        <a:p>
          <a:r>
            <a:rPr lang="en-US" sz="1000">
              <a:solidFill>
                <a:schemeClr val="dk1"/>
              </a:solidFill>
              <a:effectLst/>
              <a:latin typeface="Arial" panose="020B0604020202020204" pitchFamily="34" charset="0"/>
              <a:ea typeface="+mn-ea"/>
              <a:cs typeface="Arial" panose="020B0604020202020204" pitchFamily="34" charset="0"/>
            </a:rPr>
            <a:t>☐Other (Describe)_________________________</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nvelope%20Lookup"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eneral%20HVA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50.14\Projects\Users\emhoffman\Desktop\Modeling%20Checklists\LEED%20EAc2%20Workbook.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6%20-%20General%20HVAC"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50.14\Projects\Users\emhoffman\Desktop\Modeling%20Checklists\ASHRAE%2090.1-2010_LtgExterior_Worksh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50.14\Projects\Users\emhoffman\Desktop\Modeling%20Checklists\MPP%20NC%20-%20ERP%20Tables%20v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50.14\Projects\Users\emhoffman\Desktop\Modeling%20Checklists\Copy%20of%20NCPXXXXX%20WB%20Template%20V3B%20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150.14\Projects\Users\emhoffman\Desktop\Copy%20of%20v4_Minimum%20Energy%20Performance%20Calculator_June_7_2016_Fix_Unlocked%20-%20UPDATED%20FOR%20BM%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elope Look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HVAC"/>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paque Envelope"/>
      <sheetName val="QC Checklist"/>
      <sheetName val="Envelope Lookup"/>
      <sheetName val="Shading &amp; Fenestration"/>
      <sheetName val="Lighting"/>
      <sheetName val="Equipment"/>
      <sheetName val="Service Water Heating"/>
      <sheetName val="General HVAC"/>
      <sheetName val="Air-Side HVAC Details"/>
      <sheetName val="Water-Side HVAC Details"/>
      <sheetName val="Lighting Lookup"/>
      <sheetName val="HVAC Lookup"/>
    </sheetNames>
    <sheetDataSet>
      <sheetData sheetId="0" refreshError="1"/>
      <sheetData sheetId="1" refreshError="1"/>
      <sheetData sheetId="2" refreshError="1"/>
      <sheetData sheetId="3">
        <row r="1">
          <cell r="X1" t="str">
            <v>Nonmetal framing (all)</v>
          </cell>
          <cell r="Y1" t="str">
            <v>Metal framing (curtainwall/storefront)</v>
          </cell>
          <cell r="Z1" t="str">
            <v>Metal framing (entrance door)</v>
          </cell>
          <cell r="AA1" t="str">
            <v>Metal framing (all other)</v>
          </cell>
          <cell r="AC1" t="str">
            <v>Skylight with Curb, Glass, 0%-2.0%</v>
          </cell>
          <cell r="AD1" t="str">
            <v>Skylight with Curb, Glass, 2.1%-5.0%</v>
          </cell>
          <cell r="AE1" t="str">
            <v>Skylight with Curb, Plastic, 0%-2.0%</v>
          </cell>
          <cell r="AF1" t="str">
            <v>Skylight with Curb, Plastic, 2.1%-5.0%</v>
          </cell>
          <cell r="AG1" t="str">
            <v>Skylight without Curb, All, 0%-2.0%</v>
          </cell>
          <cell r="AH1" t="str">
            <v>Skylight without Curb, All, 2.1%-5.0%</v>
          </cell>
        </row>
        <row r="2">
          <cell r="BP2" t="str">
            <v>New</v>
          </cell>
          <cell r="BQ2" t="str">
            <v>Residential</v>
          </cell>
        </row>
        <row r="3">
          <cell r="BP3" t="str">
            <v/>
          </cell>
          <cell r="BQ3" t="str">
            <v>Semiheated</v>
          </cell>
        </row>
        <row r="4">
          <cell r="BQ4" t="str">
            <v/>
          </cell>
        </row>
      </sheetData>
      <sheetData sheetId="4">
        <row r="37">
          <cell r="H37" t="str">
            <v>NFRC testing for site-assembled fenestration</v>
          </cell>
        </row>
        <row r="38">
          <cell r="H38" t="str">
            <v>NFRC testing for manufactured fenestration assemblies</v>
          </cell>
        </row>
        <row r="39">
          <cell r="H39" t="str">
            <v>Table A8.2 (windows) and Table A8.1 (skylights)</v>
          </cell>
        </row>
        <row r="40">
          <cell r="H40" t="str">
            <v>LBNL Window 5 or Window 6 calculations</v>
          </cell>
        </row>
        <row r="41">
          <cell r="H41" t="str">
            <v>Energy simulation includes separate frame and glazing</v>
          </cell>
        </row>
        <row r="42">
          <cell r="H42" t="str">
            <v>Other (Describe)</v>
          </cell>
        </row>
      </sheetData>
      <sheetData sheetId="5">
        <row r="27">
          <cell r="B27" t="str">
            <v>Dormitory-Living Quarters</v>
          </cell>
        </row>
        <row r="28">
          <cell r="B28" t="str">
            <v>Active Storage</v>
          </cell>
        </row>
        <row r="29">
          <cell r="B29" t="str">
            <v>Lobby</v>
          </cell>
        </row>
        <row r="30">
          <cell r="B30" t="str">
            <v>Corridor/Transition</v>
          </cell>
        </row>
        <row r="31">
          <cell r="B31" t="str">
            <v>Stairs-Active</v>
          </cell>
        </row>
        <row r="32">
          <cell r="B32" t="str">
            <v>Conference/Meeting/Multipurpose</v>
          </cell>
        </row>
        <row r="33">
          <cell r="B33" t="str">
            <v>Electrical/Mechanical</v>
          </cell>
        </row>
        <row r="34">
          <cell r="B34" t="str">
            <v>Office-Enclosed</v>
          </cell>
        </row>
        <row r="35">
          <cell r="B35" t="str">
            <v>Workshop</v>
          </cell>
        </row>
        <row r="36">
          <cell r="B36" t="str">
            <v>Restrooms</v>
          </cell>
        </row>
        <row r="37">
          <cell r="B37" t="str">
            <v>Gymnasium/Exercise Center-Playing Area</v>
          </cell>
        </row>
        <row r="38">
          <cell r="B38" t="str">
            <v>Dressing/Locker/Fitting Room</v>
          </cell>
        </row>
      </sheetData>
      <sheetData sheetId="6" refreshError="1"/>
      <sheetData sheetId="7" refreshError="1"/>
      <sheetData sheetId="8">
        <row r="20">
          <cell r="B20" t="str">
            <v>Heat Pump System</v>
          </cell>
        </row>
        <row r="21">
          <cell r="B21" t="str">
            <v>Unit Heater</v>
          </cell>
        </row>
        <row r="30">
          <cell r="C30" t="str">
            <v>System 1 - PTAC</v>
          </cell>
        </row>
        <row r="32">
          <cell r="C32" t="str">
            <v>-</v>
          </cell>
        </row>
      </sheetData>
      <sheetData sheetId="9" refreshError="1"/>
      <sheetData sheetId="10" refreshError="1"/>
      <sheetData sheetId="11"/>
      <sheetData sheetId="12">
        <row r="9">
          <cell r="L9" t="str">
            <v>kBtu/h</v>
          </cell>
        </row>
        <row r="10">
          <cell r="A10" t="str">
            <v>System 1 - PTAC</v>
          </cell>
          <cell r="B10">
            <v>1</v>
          </cell>
          <cell r="C10" t="str">
            <v>System 1 - PTAC</v>
          </cell>
          <cell r="D10" t="str">
            <v>System 1 (District Cooling) - 4-pipe Fan Coil with HW Boiler</v>
          </cell>
          <cell r="E10" t="str">
            <v>System 1 (District Heating) - PTAC</v>
          </cell>
          <cell r="F10" t="str">
            <v>System 1 (District Heating &amp; Cooling) - 4-pipe Fan Coil</v>
          </cell>
          <cell r="G10" t="str">
            <v>Describe the California Title-24 Baseline System Type</v>
          </cell>
          <cell r="H10">
            <v>2.9999999999999997E-4</v>
          </cell>
          <cell r="I10">
            <v>0</v>
          </cell>
          <cell r="J10">
            <v>0</v>
          </cell>
          <cell r="K10">
            <v>0</v>
          </cell>
          <cell r="L10" t="str">
            <v>tons</v>
          </cell>
          <cell r="U10">
            <v>0</v>
          </cell>
          <cell r="W10">
            <v>0.82499999999999996</v>
          </cell>
        </row>
        <row r="11">
          <cell r="A11" t="str">
            <v>System 2 - PTHP</v>
          </cell>
          <cell r="B11">
            <v>2</v>
          </cell>
          <cell r="C11" t="str">
            <v>System 2 - PTHP</v>
          </cell>
          <cell r="D11" t="str">
            <v>System 2 (District Cooling) - 4-pipe Fan Coil with HW Boiler</v>
          </cell>
          <cell r="E11" t="str">
            <v/>
          </cell>
          <cell r="F11" t="str">
            <v/>
          </cell>
          <cell r="G11" t="str">
            <v/>
          </cell>
          <cell r="H11">
            <v>2.9999999999999997E-4</v>
          </cell>
          <cell r="I11">
            <v>0</v>
          </cell>
          <cell r="J11">
            <v>0</v>
          </cell>
          <cell r="K11">
            <v>0</v>
          </cell>
          <cell r="L11" t="str">
            <v>kW</v>
          </cell>
          <cell r="U11">
            <v>1</v>
          </cell>
          <cell r="V11">
            <v>0.82499999999999996</v>
          </cell>
          <cell r="W11">
            <v>0.84</v>
          </cell>
        </row>
        <row r="12">
          <cell r="A12" t="str">
            <v>System 3 - PSZ-AC</v>
          </cell>
          <cell r="B12">
            <v>3</v>
          </cell>
          <cell r="C12" t="str">
            <v>System 3 - PSZ-AC</v>
          </cell>
          <cell r="D12" t="str">
            <v>System 3 (District Cooling) - 2-pipe CV AHU with Fossil Fuel Furnace</v>
          </cell>
          <cell r="E12" t="str">
            <v>System 3 (District Heating) - PSZ-AC with District Heating</v>
          </cell>
          <cell r="F12" t="str">
            <v>System 3 (District Heating &amp; Cooling) - 4-pipe CV AHU</v>
          </cell>
          <cell r="G12" t="str">
            <v/>
          </cell>
          <cell r="H12">
            <v>9.3999999999999997E-4</v>
          </cell>
          <cell r="I12">
            <v>1</v>
          </cell>
          <cell r="J12">
            <v>1</v>
          </cell>
          <cell r="K12">
            <v>0</v>
          </cell>
          <cell r="L12" t="str">
            <v>Btuh</v>
          </cell>
          <cell r="U12">
            <v>1.5</v>
          </cell>
          <cell r="V12">
            <v>0.84</v>
          </cell>
          <cell r="W12">
            <v>0.84</v>
          </cell>
        </row>
        <row r="13">
          <cell r="A13" t="str">
            <v>System 4 - PSZ-HP</v>
          </cell>
          <cell r="B13">
            <v>4</v>
          </cell>
          <cell r="C13" t="str">
            <v>System 4 - PSZ-HP</v>
          </cell>
          <cell r="D13" t="str">
            <v>System 4 (District Cooling) - 2-pipe CV AHU with Fossil Fuel Furnace</v>
          </cell>
          <cell r="E13" t="str">
            <v/>
          </cell>
          <cell r="F13" t="str">
            <v/>
          </cell>
          <cell r="G13" t="str">
            <v/>
          </cell>
          <cell r="H13">
            <v>9.3999999999999997E-4</v>
          </cell>
          <cell r="I13">
            <v>1</v>
          </cell>
          <cell r="J13">
            <v>1</v>
          </cell>
          <cell r="K13">
            <v>0</v>
          </cell>
          <cell r="U13">
            <v>2</v>
          </cell>
          <cell r="V13">
            <v>0.84</v>
          </cell>
          <cell r="W13">
            <v>0.875</v>
          </cell>
        </row>
        <row r="14">
          <cell r="A14" t="str">
            <v>System 5 - Packaged VAV with Reheat</v>
          </cell>
          <cell r="B14">
            <v>5</v>
          </cell>
          <cell r="C14" t="str">
            <v>System 5 - Packaged VAV with Reheat</v>
          </cell>
          <cell r="D14" t="str">
            <v>System 5 (District Cooling) - Change to System 7 - VAV with Reheat</v>
          </cell>
          <cell r="E14" t="str">
            <v>System 5 (District Heating) - Packaged VAV with Reheat</v>
          </cell>
          <cell r="F14" t="str">
            <v>System 5 (District Heating &amp; Cooling) - Change to System 7 - VAV with Reheat</v>
          </cell>
          <cell r="G14" t="str">
            <v/>
          </cell>
          <cell r="H14">
            <v>1.2999999999999999E-3</v>
          </cell>
          <cell r="I14">
            <v>1</v>
          </cell>
          <cell r="J14">
            <v>1</v>
          </cell>
          <cell r="K14">
            <v>0</v>
          </cell>
          <cell r="U14">
            <v>3</v>
          </cell>
          <cell r="V14">
            <v>0.875</v>
          </cell>
          <cell r="W14">
            <v>0.875</v>
          </cell>
        </row>
        <row r="15">
          <cell r="A15" t="str">
            <v>System 6 - Packaged VAV with PFP Boxes</v>
          </cell>
          <cell r="B15">
            <v>6</v>
          </cell>
          <cell r="C15" t="str">
            <v>System 6 - Packaged VAV with PFP Boxes</v>
          </cell>
          <cell r="D15" t="str">
            <v>System 6 (District Cooling) - Change to System 8 - VAV with PFP Boxes</v>
          </cell>
          <cell r="E15" t="str">
            <v/>
          </cell>
          <cell r="F15" t="str">
            <v/>
          </cell>
          <cell r="G15" t="str">
            <v/>
          </cell>
          <cell r="H15">
            <v>1.2999999999999999E-3</v>
          </cell>
          <cell r="I15">
            <v>1</v>
          </cell>
          <cell r="J15">
            <v>1</v>
          </cell>
          <cell r="K15">
            <v>0</v>
          </cell>
          <cell r="U15">
            <v>5</v>
          </cell>
          <cell r="V15">
            <v>0.875</v>
          </cell>
          <cell r="W15">
            <v>0.89500000000000002</v>
          </cell>
        </row>
        <row r="16">
          <cell r="A16" t="str">
            <v>System 7 - VAV with Reheat</v>
          </cell>
          <cell r="B16">
            <v>7</v>
          </cell>
          <cell r="C16" t="str">
            <v>System 7 - VAV with Reheat</v>
          </cell>
          <cell r="D16" t="str">
            <v>System 7 (District Cooling) - VAV with Reheat</v>
          </cell>
          <cell r="E16" t="str">
            <v>System 7 (District Heating) - VAV with Reheat</v>
          </cell>
          <cell r="F16" t="str">
            <v>System 7 (Heating &amp; Cooling) - VAV with Reheat</v>
          </cell>
          <cell r="G16" t="str">
            <v/>
          </cell>
          <cell r="H16">
            <v>1.2999999999999999E-3</v>
          </cell>
          <cell r="I16">
            <v>1</v>
          </cell>
          <cell r="J16">
            <v>1</v>
          </cell>
          <cell r="K16">
            <v>0</v>
          </cell>
          <cell r="U16">
            <v>7.5</v>
          </cell>
          <cell r="V16">
            <v>0.89500000000000002</v>
          </cell>
          <cell r="W16">
            <v>0.89500000000000002</v>
          </cell>
        </row>
        <row r="17">
          <cell r="A17" t="str">
            <v>System 8 - VAV with PFP Boxes</v>
          </cell>
          <cell r="B17">
            <v>8</v>
          </cell>
          <cell r="C17" t="str">
            <v>System 8 - VAV with PFP Boxes</v>
          </cell>
          <cell r="D17" t="str">
            <v>System 8 (District Cooling)- VAV with PFP Boxes</v>
          </cell>
          <cell r="E17" t="str">
            <v/>
          </cell>
          <cell r="F17" t="str">
            <v/>
          </cell>
          <cell r="G17" t="str">
            <v/>
          </cell>
          <cell r="H17">
            <v>1.2999999999999999E-3</v>
          </cell>
          <cell r="I17">
            <v>1</v>
          </cell>
          <cell r="J17">
            <v>1</v>
          </cell>
          <cell r="K17">
            <v>0</v>
          </cell>
          <cell r="U17">
            <v>10</v>
          </cell>
          <cell r="V17">
            <v>0.89500000000000002</v>
          </cell>
          <cell r="W17">
            <v>0.91</v>
          </cell>
        </row>
        <row r="18">
          <cell r="A18" t="str">
            <v>System 9 - Heating and Ventilation</v>
          </cell>
          <cell r="B18">
            <v>9</v>
          </cell>
          <cell r="C18" t="str">
            <v>System 9 - Heating and Ventilation</v>
          </cell>
          <cell r="D18" t="str">
            <v>System 9 - Heating and Ventilation</v>
          </cell>
          <cell r="E18" t="str">
            <v>System 9 (District Heating) - Heating and Ventilation</v>
          </cell>
          <cell r="F18" t="str">
            <v>System 9 (District Heating) - Heating and Ventilation</v>
          </cell>
          <cell r="G18" t="str">
            <v/>
          </cell>
          <cell r="H18">
            <v>2.9999999999999997E-4</v>
          </cell>
          <cell r="I18">
            <v>0</v>
          </cell>
          <cell r="J18">
            <v>0</v>
          </cell>
          <cell r="K18">
            <v>5.3999999999999998E-5</v>
          </cell>
          <cell r="U18">
            <v>15</v>
          </cell>
          <cell r="V18">
            <v>0.91</v>
          </cell>
          <cell r="W18">
            <v>0.91</v>
          </cell>
        </row>
        <row r="19">
          <cell r="A19" t="str">
            <v>System 10 - Heating and Ventilation</v>
          </cell>
          <cell r="B19">
            <v>10</v>
          </cell>
          <cell r="C19" t="str">
            <v>System 10 - Heating and Ventilation</v>
          </cell>
          <cell r="D19" t="str">
            <v>System 10 - Heating and Ventilation</v>
          </cell>
          <cell r="E19" t="str">
            <v/>
          </cell>
          <cell r="F19" t="str">
            <v/>
          </cell>
          <cell r="G19" t="str">
            <v/>
          </cell>
          <cell r="H19">
            <v>2.9999999999999997E-4</v>
          </cell>
          <cell r="I19">
            <v>0</v>
          </cell>
          <cell r="J19">
            <v>0</v>
          </cell>
          <cell r="K19">
            <v>5.3999999999999998E-5</v>
          </cell>
          <cell r="U19">
            <v>20</v>
          </cell>
          <cell r="V19">
            <v>0.91</v>
          </cell>
          <cell r="W19">
            <v>0.92400000000000004</v>
          </cell>
        </row>
        <row r="20">
          <cell r="A20" t="str">
            <v/>
          </cell>
          <cell r="B20">
            <v>1</v>
          </cell>
          <cell r="C20" t="str">
            <v/>
          </cell>
          <cell r="D20" t="str">
            <v>System 1 - PTAC</v>
          </cell>
          <cell r="E20" t="str">
            <v>System 1 - PTAC</v>
          </cell>
          <cell r="F20" t="str">
            <v>System 1 - PTAC</v>
          </cell>
          <cell r="G20" t="str">
            <v/>
          </cell>
          <cell r="H20">
            <v>2.9999999999999997E-4</v>
          </cell>
          <cell r="I20">
            <v>0</v>
          </cell>
          <cell r="J20">
            <v>0</v>
          </cell>
          <cell r="K20">
            <v>0</v>
          </cell>
          <cell r="U20">
            <v>25</v>
          </cell>
          <cell r="V20">
            <v>0.92400000000000004</v>
          </cell>
          <cell r="W20">
            <v>0.92400000000000004</v>
          </cell>
        </row>
        <row r="21">
          <cell r="A21" t="str">
            <v/>
          </cell>
          <cell r="B21">
            <v>2</v>
          </cell>
          <cell r="C21" t="str">
            <v/>
          </cell>
          <cell r="D21" t="str">
            <v>System 2 - PTHP</v>
          </cell>
          <cell r="E21" t="str">
            <v>System 2 - PTHP</v>
          </cell>
          <cell r="F21" t="str">
            <v>System 2 - PTHP</v>
          </cell>
          <cell r="G21" t="str">
            <v/>
          </cell>
          <cell r="H21">
            <v>2.9999999999999997E-4</v>
          </cell>
          <cell r="I21">
            <v>0</v>
          </cell>
          <cell r="J21">
            <v>0</v>
          </cell>
          <cell r="K21">
            <v>0</v>
          </cell>
          <cell r="U21">
            <v>30</v>
          </cell>
          <cell r="V21">
            <v>0.92400000000000004</v>
          </cell>
          <cell r="W21">
            <v>0.93</v>
          </cell>
        </row>
        <row r="22">
          <cell r="A22" t="str">
            <v/>
          </cell>
          <cell r="B22">
            <v>3</v>
          </cell>
          <cell r="C22" t="str">
            <v/>
          </cell>
          <cell r="D22" t="str">
            <v>System 3 - PSZ-AC</v>
          </cell>
          <cell r="E22" t="str">
            <v>System 3 - PSZ-AC</v>
          </cell>
          <cell r="F22" t="str">
            <v>System 3 - PSZ-AC</v>
          </cell>
          <cell r="G22" t="str">
            <v/>
          </cell>
          <cell r="H22">
            <v>9.3999999999999997E-4</v>
          </cell>
          <cell r="I22">
            <v>1</v>
          </cell>
          <cell r="J22">
            <v>1</v>
          </cell>
          <cell r="K22">
            <v>0</v>
          </cell>
          <cell r="U22">
            <v>40</v>
          </cell>
          <cell r="V22">
            <v>0.93</v>
          </cell>
          <cell r="W22">
            <v>0.93</v>
          </cell>
        </row>
        <row r="23">
          <cell r="A23" t="str">
            <v/>
          </cell>
          <cell r="B23">
            <v>4</v>
          </cell>
          <cell r="C23" t="str">
            <v/>
          </cell>
          <cell r="D23" t="str">
            <v>System 4 - PSZ-HP</v>
          </cell>
          <cell r="E23" t="str">
            <v>System 4 - PSZ-HP</v>
          </cell>
          <cell r="F23" t="str">
            <v>System 4 - PSZ-HP</v>
          </cell>
          <cell r="G23" t="str">
            <v/>
          </cell>
          <cell r="H23">
            <v>9.3999999999999997E-4</v>
          </cell>
          <cell r="I23">
            <v>1</v>
          </cell>
          <cell r="J23">
            <v>1</v>
          </cell>
          <cell r="K23">
            <v>0</v>
          </cell>
          <cell r="U23">
            <v>50</v>
          </cell>
          <cell r="V23">
            <v>0.93</v>
          </cell>
          <cell r="W23">
            <v>0.93600000000000005</v>
          </cell>
        </row>
        <row r="24">
          <cell r="A24" t="str">
            <v/>
          </cell>
          <cell r="B24">
            <v>5</v>
          </cell>
          <cell r="C24" t="str">
            <v/>
          </cell>
          <cell r="D24" t="str">
            <v>System 5 - Packaged VAV with Reheat</v>
          </cell>
          <cell r="E24" t="str">
            <v>System 5 - Packaged VAV with Reheat</v>
          </cell>
          <cell r="F24" t="str">
            <v>System 5 - Packaged VAV with Reheat</v>
          </cell>
          <cell r="G24" t="str">
            <v/>
          </cell>
          <cell r="H24">
            <v>1.2999999999999999E-3</v>
          </cell>
          <cell r="I24">
            <v>1</v>
          </cell>
          <cell r="J24">
            <v>1</v>
          </cell>
          <cell r="K24">
            <v>0</v>
          </cell>
          <cell r="U24">
            <v>60</v>
          </cell>
          <cell r="V24">
            <v>0.93600000000000005</v>
          </cell>
          <cell r="W24">
            <v>0.94099999999999995</v>
          </cell>
        </row>
        <row r="25">
          <cell r="A25" t="str">
            <v/>
          </cell>
          <cell r="B25">
            <v>6</v>
          </cell>
          <cell r="C25" t="str">
            <v/>
          </cell>
          <cell r="D25" t="str">
            <v>System 6 - Packaged VAV with PFP Boxes</v>
          </cell>
          <cell r="E25" t="str">
            <v>System 6 - Packaged VAV with PFP Boxes</v>
          </cell>
          <cell r="F25" t="str">
            <v>System 6 - Packaged VAV with PFP Boxes</v>
          </cell>
          <cell r="G25" t="str">
            <v/>
          </cell>
          <cell r="H25">
            <v>1.2999999999999999E-3</v>
          </cell>
          <cell r="I25">
            <v>1</v>
          </cell>
          <cell r="J25">
            <v>1</v>
          </cell>
          <cell r="K25">
            <v>0</v>
          </cell>
          <cell r="U25">
            <v>75</v>
          </cell>
          <cell r="V25">
            <v>0.94099999999999995</v>
          </cell>
          <cell r="W25">
            <v>0.94499999999999995</v>
          </cell>
        </row>
        <row r="26">
          <cell r="A26" t="str">
            <v/>
          </cell>
          <cell r="B26">
            <v>7</v>
          </cell>
          <cell r="C26" t="str">
            <v/>
          </cell>
          <cell r="D26" t="str">
            <v>System 7 - VAV with Reheat</v>
          </cell>
          <cell r="E26" t="str">
            <v>System 7 - VAV with Reheat</v>
          </cell>
          <cell r="F26" t="str">
            <v>System 7 - VAV with Reheat</v>
          </cell>
          <cell r="G26" t="str">
            <v/>
          </cell>
          <cell r="H26">
            <v>1.2999999999999999E-3</v>
          </cell>
          <cell r="I26">
            <v>1</v>
          </cell>
          <cell r="J26">
            <v>1</v>
          </cell>
          <cell r="K26">
            <v>0</v>
          </cell>
          <cell r="U26">
            <v>100</v>
          </cell>
          <cell r="V26">
            <v>0.94499999999999995</v>
          </cell>
          <cell r="W26">
            <v>0.94499999999999995</v>
          </cell>
        </row>
        <row r="27">
          <cell r="A27" t="str">
            <v/>
          </cell>
          <cell r="B27">
            <v>8</v>
          </cell>
          <cell r="C27" t="str">
            <v/>
          </cell>
          <cell r="D27" t="str">
            <v>System 8 - VAV with PFP Boxes</v>
          </cell>
          <cell r="E27" t="str">
            <v>System 8 - VAV with PFP Boxes</v>
          </cell>
          <cell r="F27" t="str">
            <v>System 8 - VAV with PFP Boxes</v>
          </cell>
          <cell r="G27" t="str">
            <v/>
          </cell>
          <cell r="H27">
            <v>1.2999999999999999E-3</v>
          </cell>
          <cell r="I27">
            <v>1</v>
          </cell>
          <cell r="J27">
            <v>1</v>
          </cell>
          <cell r="K27">
            <v>0</v>
          </cell>
          <cell r="U27">
            <v>125</v>
          </cell>
          <cell r="V27">
            <v>0.94499999999999995</v>
          </cell>
          <cell r="W27">
            <v>0.95</v>
          </cell>
        </row>
        <row r="28">
          <cell r="A28" t="str">
            <v/>
          </cell>
          <cell r="B28">
            <v>9</v>
          </cell>
          <cell r="C28" t="str">
            <v/>
          </cell>
          <cell r="D28" t="str">
            <v/>
          </cell>
          <cell r="E28" t="str">
            <v>System 9 - Heating and Ventilation</v>
          </cell>
          <cell r="F28" t="str">
            <v>System 9 - Heating and Ventilation</v>
          </cell>
          <cell r="G28" t="str">
            <v/>
          </cell>
          <cell r="H28">
            <v>2.9999999999999997E-4</v>
          </cell>
          <cell r="I28">
            <v>0</v>
          </cell>
          <cell r="J28">
            <v>0</v>
          </cell>
          <cell r="K28">
            <v>5.3999999999999998E-5</v>
          </cell>
          <cell r="U28">
            <v>150</v>
          </cell>
          <cell r="V28">
            <v>0.95</v>
          </cell>
          <cell r="W28">
            <v>0.95</v>
          </cell>
        </row>
        <row r="29">
          <cell r="A29" t="str">
            <v/>
          </cell>
          <cell r="B29">
            <v>10</v>
          </cell>
          <cell r="C29" t="str">
            <v/>
          </cell>
          <cell r="D29" t="str">
            <v/>
          </cell>
          <cell r="E29" t="str">
            <v>System 10 - Heating and Ventilation</v>
          </cell>
          <cell r="F29" t="str">
            <v>System 10 - Heating and Ventilation</v>
          </cell>
          <cell r="G29" t="str">
            <v/>
          </cell>
          <cell r="H29">
            <v>2.9999999999999997E-4</v>
          </cell>
          <cell r="I29">
            <v>0</v>
          </cell>
          <cell r="J29">
            <v>0</v>
          </cell>
          <cell r="K29">
            <v>5.3999999999999998E-5</v>
          </cell>
          <cell r="U29">
            <v>200</v>
          </cell>
          <cell r="V29">
            <v>0.95</v>
          </cell>
          <cell r="W29">
            <v>0.95</v>
          </cell>
        </row>
        <row r="33">
          <cell r="C33" t="str">
            <v>System 1 - PTAC</v>
          </cell>
          <cell r="D33" t="str">
            <v>System 2 - PTHP</v>
          </cell>
          <cell r="E33" t="str">
            <v>System 1 - PTAC</v>
          </cell>
          <cell r="F33" t="str">
            <v>System 9 - Heating and Ventilation</v>
          </cell>
          <cell r="G33" t="str">
            <v>System 3 - PSZ-AC</v>
          </cell>
          <cell r="H33" t="str">
            <v>System 1 - PTAC</v>
          </cell>
          <cell r="I33" t="str">
            <v>System 5 - Packaged VAV with Reheat</v>
          </cell>
        </row>
        <row r="34">
          <cell r="C34" t="str">
            <v>System 2 - PTHP</v>
          </cell>
          <cell r="D34" t="str">
            <v>System 3 - PSZ-AC</v>
          </cell>
          <cell r="E34" t="str">
            <v>System 1 (District Cooling) - 4-pipe Fan Coil with HW Boiler</v>
          </cell>
          <cell r="F34" t="str">
            <v>System 10 - Heating and Ventilation</v>
          </cell>
          <cell r="G34" t="str">
            <v>System 4 - PSZ-HP</v>
          </cell>
          <cell r="H34" t="str">
            <v>System 1 (District Cooling) - 4-pipe Fan Coil with HW Boiler</v>
          </cell>
          <cell r="I34" t="str">
            <v>System 5 (District Cooling) - Change to System 7 - VAV with Reheat</v>
          </cell>
        </row>
        <row r="35">
          <cell r="C35" t="str">
            <v>System 3 - PSZ-AC</v>
          </cell>
          <cell r="D35" t="str">
            <v>System 3 (District Cooling) - 2-pipe CV AHU with Fossil Fuel Furnace</v>
          </cell>
          <cell r="E35" t="str">
            <v>System 1 (District Heating) - PTAC</v>
          </cell>
          <cell r="F35" t="str">
            <v>System 9 (District Heating) - Heating and Ventilation</v>
          </cell>
          <cell r="G35" t="str">
            <v>System 9 - Heating and Ventilation</v>
          </cell>
          <cell r="H35" t="str">
            <v>System 1 (District Heating) - PTAC</v>
          </cell>
          <cell r="I35" t="str">
            <v>System 5 (District Heating) - Packaged VAV with Reheat</v>
          </cell>
        </row>
        <row r="36">
          <cell r="C36" t="str">
            <v>System 4 - PSZ-HP</v>
          </cell>
          <cell r="D36" t="str">
            <v>System 4 - PSZ-HP</v>
          </cell>
          <cell r="E36" t="str">
            <v>System 1 (District Heating &amp; Cooling) - 4-pipe Fan Coil</v>
          </cell>
          <cell r="G36" t="str">
            <v>System 10 - Heating and Ventilation</v>
          </cell>
          <cell r="H36" t="str">
            <v>System 1 (District Heating &amp; Cooling) - 4-pipe Fan Coil</v>
          </cell>
          <cell r="I36" t="str">
            <v>System 5 (District Heating &amp; Cooling) - Change to System 7 - VAV with Reheat</v>
          </cell>
        </row>
        <row r="37">
          <cell r="C37" t="str">
            <v>System 5 - Packaged VAV with Reheat</v>
          </cell>
          <cell r="D37" t="str">
            <v>System 4 (District Cooling) - 2-pipe CV AHU with Fossil Fuel Furnace</v>
          </cell>
          <cell r="E37" t="str">
            <v>System 1 (District Heating) - PTAC</v>
          </cell>
          <cell r="G37" t="str">
            <v>System 3 (District Cooling) - 2-pipe CV AHU with Fossil Fuel Furnace</v>
          </cell>
          <cell r="H37" t="str">
            <v>System 2 - PTHP</v>
          </cell>
          <cell r="I37" t="str">
            <v>System 6 - Packaged VAV with PFP Boxes</v>
          </cell>
        </row>
        <row r="38">
          <cell r="C38" t="str">
            <v>System 6 - Packaged VAV with PFP Boxes</v>
          </cell>
          <cell r="D38" t="str">
            <v>System 9 - Heating and Ventilation</v>
          </cell>
          <cell r="E38" t="str">
            <v>System 1 (District Heating &amp; Cooling) - 4-pipe Fan Coil</v>
          </cell>
          <cell r="G38" t="str">
            <v>System 4 (District Cooling) - 2-pipe CV AHU with Fossil Fuel Furnace</v>
          </cell>
          <cell r="H38" t="str">
            <v>System 2 (District Cooling) - 4-pipe Fan Coil with HW Boiler</v>
          </cell>
          <cell r="I38" t="str">
            <v>System 6 (District Cooling) - Change to System 8 - VAV with PFP Boxes</v>
          </cell>
        </row>
        <row r="39">
          <cell r="C39" t="str">
            <v>System 1 (District Heating) - PTAC</v>
          </cell>
          <cell r="E39" t="str">
            <v>System 2 - PTHP</v>
          </cell>
          <cell r="H39" t="str">
            <v>System 9 - Heating and Ventilation</v>
          </cell>
          <cell r="I39" t="str">
            <v>System 7 - VAV with Reheat</v>
          </cell>
        </row>
        <row r="40">
          <cell r="C40" t="str">
            <v>System 3 (District Heating) - PSZ-AC with District Heating</v>
          </cell>
          <cell r="E40" t="str">
            <v>System 2 (District Cooling) - 4-pipe Fan Coil with HW Boiler</v>
          </cell>
          <cell r="H40" t="str">
            <v>System 9 - Heating and Ventilation</v>
          </cell>
          <cell r="I40" t="str">
            <v>System 7 (District Cooling) - VAV with Reheat</v>
          </cell>
        </row>
        <row r="41">
          <cell r="C41" t="str">
            <v>System 5 (District Heating) - Packaged VAV with Reheat</v>
          </cell>
          <cell r="E41" t="str">
            <v>System 9 - Heating and Ventilation</v>
          </cell>
          <cell r="H41" t="str">
            <v>System 9 (District Heating) - Heating and Ventilation</v>
          </cell>
          <cell r="I41" t="str">
            <v>System 7 (District Heating) - VAV with Reheat</v>
          </cell>
        </row>
        <row r="42">
          <cell r="E42" t="str">
            <v>System 9 (District Heating) - Heating and Ventilation</v>
          </cell>
          <cell r="H42" t="str">
            <v>System 9 (District Heating) - Heating and Ventilation</v>
          </cell>
          <cell r="I42" t="str">
            <v>System 7 (Heating &amp; Cooling) - VAV with Reheat</v>
          </cell>
        </row>
        <row r="43">
          <cell r="E43" t="str">
            <v>System 10 - Heating and Ventilation</v>
          </cell>
          <cell r="H43" t="str">
            <v>System 10 - Heating and Ventilation</v>
          </cell>
          <cell r="I43" t="str">
            <v>System 8 - VAV with PFP Boxes</v>
          </cell>
        </row>
        <row r="44">
          <cell r="H44" t="str">
            <v>System 10 - Heating and Ventilation</v>
          </cell>
          <cell r="I44" t="str">
            <v>System 8 (District Cooling)- VAV with PFP Boxes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 General HVAC"/>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Lighting Zones"/>
      <sheetName val="Raw Data"/>
    </sheetNames>
    <sheetDataSet>
      <sheetData sheetId="0"/>
      <sheetData sheetId="1">
        <row r="2">
          <cell r="B2">
            <v>0</v>
          </cell>
          <cell r="C2" t="str">
            <v>Undeveloped areas within national and state parks, forest land and rural areas and other undeveloped areas as approved by the AHJ</v>
          </cell>
          <cell r="D2">
            <v>0</v>
          </cell>
        </row>
        <row r="3">
          <cell r="B3">
            <v>1</v>
          </cell>
          <cell r="C3" t="str">
            <v>National and state parks, forest land and rural areas</v>
          </cell>
          <cell r="D3">
            <v>500</v>
          </cell>
        </row>
        <row r="4">
          <cell r="B4">
            <v>2</v>
          </cell>
          <cell r="C4" t="str">
            <v>Areas primarily consisting of residential areas, neighborhood business districts and light industrial areas with limited nighttime use</v>
          </cell>
          <cell r="D4">
            <v>600</v>
          </cell>
        </row>
        <row r="5">
          <cell r="B5">
            <v>3</v>
          </cell>
          <cell r="C5" t="str">
            <v>Any area not covered by lighting zones 0, 1, 2 or 4.  Primarily urban.</v>
          </cell>
          <cell r="D5">
            <v>750</v>
          </cell>
        </row>
        <row r="6">
          <cell r="B6">
            <v>4</v>
          </cell>
          <cell r="C6" t="str">
            <v>Commercial districts in major metropolitan areas with very high activity.  Must be designated so by the local jurisdiction.</v>
          </cell>
          <cell r="D6">
            <v>1300</v>
          </cell>
        </row>
        <row r="11">
          <cell r="B11" t="str">
            <v>YES</v>
          </cell>
        </row>
        <row r="12">
          <cell r="B12" t="str">
            <v>NO</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GHSF Calculator"/>
      <sheetName val="Demand Savings Lookup"/>
      <sheetName val="Lookup"/>
      <sheetName val="Drop Down"/>
      <sheetName val="Introduction"/>
      <sheetName val="NYSERDA Reporting"/>
      <sheetName val="ERMs"/>
      <sheetName val="Basic Info"/>
      <sheetName val="Model Inputs"/>
      <sheetName val="Reporting Summary"/>
      <sheetName val="Avoided Costs"/>
      <sheetName val="Detailed Measures"/>
      <sheetName val="Results from eQUEST"/>
      <sheetName val="SG Appx Intro"/>
      <sheetName val="Project Size"/>
      <sheetName val="Windows eQuest"/>
      <sheetName val="DHW Demand"/>
      <sheetName val="Appliances"/>
      <sheetName val="Lighting Schedule"/>
      <sheetName val="Interior Lighting"/>
      <sheetName val="Exterior Lighting"/>
      <sheetName val="In-Unit Lighting"/>
      <sheetName val="Infiltration&amp;Ventilation"/>
      <sheetName val="EIR for PTAC and PTHP"/>
      <sheetName val="Water Savings"/>
      <sheetName val="Simulation Summary"/>
      <sheetName val="Admin"/>
      <sheetName val="RECS - Baseline"/>
      <sheetName val="RECS - Proposed"/>
      <sheetName val="Tables of Values"/>
      <sheetName val="Locator Map"/>
      <sheetName val="Side Calcs - Baseline"/>
      <sheetName val="ZipCode Map"/>
      <sheetName val="Worksheet - Design - Baseline"/>
      <sheetName val="Worksheet - Design - Proposed"/>
      <sheetName val="Side Calcs - Proposed"/>
    </sheetNames>
    <sheetDataSet>
      <sheetData sheetId="0"/>
      <sheetData sheetId="1"/>
      <sheetData sheetId="2"/>
      <sheetData sheetId="3"/>
      <sheetData sheetId="4">
        <row r="2">
          <cell r="U2" t="str">
            <v>Storage, active</v>
          </cell>
          <cell r="W2" t="str">
            <v>Conference/meeting/multipurpose</v>
          </cell>
          <cell r="X2">
            <v>1.3</v>
          </cell>
          <cell r="Y2">
            <v>30</v>
          </cell>
        </row>
        <row r="3">
          <cell r="U3" t="str">
            <v>Storage, inactive</v>
          </cell>
          <cell r="W3" t="str">
            <v>Corridor/Transition</v>
          </cell>
          <cell r="X3">
            <v>0.5</v>
          </cell>
          <cell r="Y3">
            <v>10</v>
          </cell>
        </row>
        <row r="4">
          <cell r="U4" t="str">
            <v>Food Preparation</v>
          </cell>
          <cell r="W4" t="str">
            <v>Dining Area - For Family Dining</v>
          </cell>
          <cell r="X4">
            <v>2.1</v>
          </cell>
          <cell r="Y4">
            <v>23</v>
          </cell>
        </row>
        <row r="5">
          <cell r="U5" t="str">
            <v>Dining Area - For Family Dining</v>
          </cell>
          <cell r="W5" t="str">
            <v>Electrical/Mechanical</v>
          </cell>
          <cell r="X5">
            <v>1.5</v>
          </cell>
          <cell r="Y5">
            <v>30</v>
          </cell>
        </row>
        <row r="6">
          <cell r="U6" t="str">
            <v>Lobby</v>
          </cell>
          <cell r="W6" t="str">
            <v>Exit Signs</v>
          </cell>
          <cell r="X6" t="str">
            <v>5 W/face</v>
          </cell>
          <cell r="Y6" t="str">
            <v>NA</v>
          </cell>
        </row>
        <row r="7">
          <cell r="U7" t="str">
            <v>Corridor/Transition</v>
          </cell>
          <cell r="W7">
            <v>0</v>
          </cell>
          <cell r="X7">
            <v>0</v>
          </cell>
          <cell r="Y7">
            <v>0</v>
          </cell>
        </row>
        <row r="8">
          <cell r="U8" t="str">
            <v>Stairs - Active</v>
          </cell>
          <cell r="W8" t="str">
            <v>Food Preparation</v>
          </cell>
          <cell r="X8">
            <v>1.2</v>
          </cell>
          <cell r="Y8">
            <v>40</v>
          </cell>
        </row>
        <row r="9">
          <cell r="U9" t="str">
            <v>Restroom</v>
          </cell>
          <cell r="W9" t="str">
            <v>Lobby</v>
          </cell>
          <cell r="X9">
            <v>1.3</v>
          </cell>
          <cell r="Y9">
            <v>16</v>
          </cell>
        </row>
        <row r="10">
          <cell r="U10" t="str">
            <v>Office</v>
          </cell>
          <cell r="W10" t="str">
            <v>Office</v>
          </cell>
          <cell r="X10">
            <v>1.1000000000000001</v>
          </cell>
          <cell r="Y10">
            <v>35</v>
          </cell>
        </row>
        <row r="11">
          <cell r="U11" t="str">
            <v>Conference/meeting/multipurpose</v>
          </cell>
          <cell r="W11" t="str">
            <v>Parking garage</v>
          </cell>
          <cell r="X11">
            <v>0.2</v>
          </cell>
          <cell r="Y11">
            <v>7</v>
          </cell>
        </row>
        <row r="12">
          <cell r="U12" t="str">
            <v>Electrical/Mechanical</v>
          </cell>
          <cell r="W12" t="str">
            <v>Restroom</v>
          </cell>
          <cell r="X12">
            <v>0.9</v>
          </cell>
          <cell r="Y12">
            <v>12</v>
          </cell>
        </row>
        <row r="13">
          <cell r="U13" t="str">
            <v>Workshop</v>
          </cell>
          <cell r="W13" t="str">
            <v>Stairs - Active</v>
          </cell>
          <cell r="X13">
            <v>0.6</v>
          </cell>
          <cell r="Y13">
            <v>15</v>
          </cell>
        </row>
        <row r="14">
          <cell r="U14" t="str">
            <v>Parking Garage</v>
          </cell>
          <cell r="W14" t="str">
            <v>Storage, active</v>
          </cell>
          <cell r="X14">
            <v>0.8</v>
          </cell>
          <cell r="Y14">
            <v>20</v>
          </cell>
        </row>
        <row r="15">
          <cell r="U15" t="str">
            <v>Exit Signs</v>
          </cell>
          <cell r="W15" t="str">
            <v>Storage, inactive</v>
          </cell>
          <cell r="X15">
            <v>0.3</v>
          </cell>
          <cell r="Y15">
            <v>8</v>
          </cell>
        </row>
        <row r="16">
          <cell r="W16" t="str">
            <v>Workshop</v>
          </cell>
          <cell r="X16">
            <v>1.9</v>
          </cell>
          <cell r="Y16">
            <v>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 Opaque Envelope"/>
      <sheetName val="QC Checklist"/>
      <sheetName val="Envelope Lookup"/>
      <sheetName val="2 - Shading &amp; Fenestration"/>
      <sheetName val="3A - Interior Lighting"/>
      <sheetName val="3B - LPD by Space Type"/>
      <sheetName val="3C - Exterior Lighting"/>
      <sheetName val="LPD-Space by Space"/>
      <sheetName val="4 - Equipment"/>
      <sheetName val="5 - Service Water Heating"/>
      <sheetName val="6 - General HVAC"/>
      <sheetName val="7 - Air-Side HVAC Details"/>
      <sheetName val="8 - Water-Side HVAC Details"/>
      <sheetName val="Lighting Lookup"/>
      <sheetName val="HVAC Lookup"/>
      <sheetName val="Revision Log"/>
    </sheetNames>
    <sheetDataSet>
      <sheetData sheetId="0"/>
      <sheetData sheetId="1"/>
      <sheetData sheetId="2"/>
      <sheetData sheetId="3">
        <row r="1">
          <cell r="X1" t="str">
            <v>Nonmetal framing (all)</v>
          </cell>
          <cell r="Y1" t="str">
            <v>Metal framing (curtainwall/storefront)</v>
          </cell>
          <cell r="Z1" t="str">
            <v>Metal framing (entrance door)</v>
          </cell>
          <cell r="AA1" t="str">
            <v>Metal framing (all other)</v>
          </cell>
          <cell r="AC1" t="str">
            <v>Skylight with Curb, Glass, 0%-2.0%</v>
          </cell>
          <cell r="AD1" t="str">
            <v>Skylight with Curb, Glass, 2.1%-5.0%</v>
          </cell>
          <cell r="AE1" t="str">
            <v>Skylight with Curb, Plastic, 0%-2.0%</v>
          </cell>
          <cell r="AF1" t="str">
            <v>Skylight with Curb, Plastic, 2.1%-5.0%</v>
          </cell>
          <cell r="AG1" t="str">
            <v>Skylight without Curb, All, 0%-2.0%</v>
          </cell>
          <cell r="AH1" t="str">
            <v>Skylight without Curb, All, 2.1%-5.0%</v>
          </cell>
        </row>
        <row r="2">
          <cell r="BP2" t="str">
            <v>New</v>
          </cell>
          <cell r="BQ2" t="str">
            <v>Semiheated</v>
          </cell>
        </row>
        <row r="3">
          <cell r="BP3" t="str">
            <v/>
          </cell>
          <cell r="BQ3" t="str">
            <v/>
          </cell>
        </row>
        <row r="4">
          <cell r="BQ4" t="str">
            <v/>
          </cell>
        </row>
      </sheetData>
      <sheetData sheetId="4"/>
      <sheetData sheetId="5"/>
      <sheetData sheetId="6"/>
      <sheetData sheetId="7"/>
      <sheetData sheetId="8"/>
      <sheetData sheetId="9"/>
      <sheetData sheetId="10"/>
      <sheetData sheetId="11">
        <row r="28">
          <cell r="C28" t="str">
            <v>-</v>
          </cell>
        </row>
      </sheetData>
      <sheetData sheetId="12"/>
      <sheetData sheetId="13"/>
      <sheetData sheetId="14"/>
      <sheetData sheetId="15">
        <row r="9">
          <cell r="L9" t="str">
            <v>kBtu/h</v>
          </cell>
        </row>
        <row r="10">
          <cell r="L10" t="str">
            <v>tons</v>
          </cell>
          <cell r="U10">
            <v>0</v>
          </cell>
          <cell r="W10">
            <v>0.82499999999999996</v>
          </cell>
        </row>
        <row r="11">
          <cell r="L11" t="str">
            <v>kW</v>
          </cell>
          <cell r="U11">
            <v>1</v>
          </cell>
          <cell r="V11">
            <v>0.82499999999999996</v>
          </cell>
          <cell r="W11">
            <v>0.84</v>
          </cell>
        </row>
        <row r="12">
          <cell r="L12" t="str">
            <v>Btuh</v>
          </cell>
          <cell r="U12">
            <v>1.5</v>
          </cell>
          <cell r="V12">
            <v>0.84</v>
          </cell>
          <cell r="W12">
            <v>0.84</v>
          </cell>
        </row>
        <row r="13">
          <cell r="U13">
            <v>2</v>
          </cell>
          <cell r="V13">
            <v>0.84</v>
          </cell>
          <cell r="W13">
            <v>0.875</v>
          </cell>
        </row>
        <row r="14">
          <cell r="U14">
            <v>3</v>
          </cell>
          <cell r="V14">
            <v>0.875</v>
          </cell>
          <cell r="W14">
            <v>0.875</v>
          </cell>
        </row>
        <row r="15">
          <cell r="U15">
            <v>5</v>
          </cell>
          <cell r="V15">
            <v>0.875</v>
          </cell>
          <cell r="W15">
            <v>0.89500000000000002</v>
          </cell>
        </row>
        <row r="16">
          <cell r="U16">
            <v>7.5</v>
          </cell>
          <cell r="V16">
            <v>0.89500000000000002</v>
          </cell>
          <cell r="W16">
            <v>0.89500000000000002</v>
          </cell>
        </row>
        <row r="17">
          <cell r="U17">
            <v>10</v>
          </cell>
          <cell r="V17">
            <v>0.89500000000000002</v>
          </cell>
          <cell r="W17">
            <v>0.91</v>
          </cell>
        </row>
        <row r="18">
          <cell r="U18">
            <v>15</v>
          </cell>
          <cell r="V18">
            <v>0.91</v>
          </cell>
          <cell r="W18">
            <v>0.91</v>
          </cell>
        </row>
        <row r="19">
          <cell r="U19">
            <v>20</v>
          </cell>
          <cell r="V19">
            <v>0.91</v>
          </cell>
          <cell r="W19">
            <v>0.92400000000000004</v>
          </cell>
        </row>
        <row r="20">
          <cell r="U20">
            <v>25</v>
          </cell>
          <cell r="V20">
            <v>0.92400000000000004</v>
          </cell>
          <cell r="W20">
            <v>0.92400000000000004</v>
          </cell>
        </row>
        <row r="21">
          <cell r="U21">
            <v>30</v>
          </cell>
          <cell r="V21">
            <v>0.92400000000000004</v>
          </cell>
          <cell r="W21">
            <v>0.93</v>
          </cell>
        </row>
        <row r="22">
          <cell r="U22">
            <v>40</v>
          </cell>
          <cell r="V22">
            <v>0.93</v>
          </cell>
          <cell r="W22">
            <v>0.93</v>
          </cell>
        </row>
        <row r="23">
          <cell r="U23">
            <v>50</v>
          </cell>
          <cell r="V23">
            <v>0.93</v>
          </cell>
          <cell r="W23">
            <v>0.93600000000000005</v>
          </cell>
        </row>
        <row r="24">
          <cell r="U24">
            <v>60</v>
          </cell>
          <cell r="V24">
            <v>0.93600000000000005</v>
          </cell>
          <cell r="W24">
            <v>0.94099999999999995</v>
          </cell>
        </row>
        <row r="25">
          <cell r="U25">
            <v>75</v>
          </cell>
          <cell r="V25">
            <v>0.94099999999999995</v>
          </cell>
          <cell r="W25">
            <v>0.94499999999999995</v>
          </cell>
        </row>
        <row r="26">
          <cell r="U26">
            <v>100</v>
          </cell>
          <cell r="V26">
            <v>0.94499999999999995</v>
          </cell>
          <cell r="W26">
            <v>0.94499999999999995</v>
          </cell>
        </row>
        <row r="27">
          <cell r="U27">
            <v>125</v>
          </cell>
          <cell r="V27">
            <v>0.94499999999999995</v>
          </cell>
          <cell r="W27">
            <v>0.95</v>
          </cell>
        </row>
        <row r="28">
          <cell r="U28">
            <v>150</v>
          </cell>
          <cell r="V28">
            <v>0.95</v>
          </cell>
          <cell r="W28">
            <v>0.95</v>
          </cell>
        </row>
        <row r="29">
          <cell r="U29">
            <v>200</v>
          </cell>
          <cell r="V29">
            <v>0.95</v>
          </cell>
          <cell r="W29">
            <v>0.95</v>
          </cell>
        </row>
      </sheetData>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ormance_Outputs_0"/>
      <sheetName val="Instructions"/>
      <sheetName val="Definitions"/>
      <sheetName val="General Information"/>
      <sheetName val="Multiple Buildings Details"/>
      <sheetName val="Schedules"/>
      <sheetName val="EFLH Calculator"/>
      <sheetName val="Multifamily Details"/>
      <sheetName val="Opaque Assemblies"/>
      <sheetName val="Shading and Fenestration"/>
      <sheetName val="DropdownData"/>
      <sheetName val="Envelope Assumptions"/>
      <sheetName val="Lighting Counts"/>
      <sheetName val="General Lighting"/>
      <sheetName val="Lighting Assumptions"/>
      <sheetName val="Process Loads"/>
      <sheetName val="Service Water Heating"/>
      <sheetName val="General HVAC"/>
      <sheetName val="Air-Side HVAC"/>
      <sheetName val="Water-Side HVAC"/>
      <sheetName val="Results from eQuest"/>
      <sheetName val="Results from Trace"/>
      <sheetName val="Performance_Outputs_1"/>
      <sheetName val="Performance_Outputs_0 old"/>
      <sheetName val="Performance_Outputs_Summary"/>
      <sheetName val="Summary"/>
      <sheetName val="HVAC Lookup"/>
      <sheetName val="District Energy Path 3"/>
    </sheetNames>
    <sheetDataSet>
      <sheetData sheetId="0"/>
      <sheetData sheetId="1"/>
      <sheetData sheetId="2"/>
      <sheetData sheetId="3">
        <row r="12">
          <cell r="I12" t="str">
            <v>IP</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7">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F5AD5EE-7616-4BE4-99FE-24160A40A1DD}">
  <we:reference id="wa104380955" version="2.2.1.0" store="en-US" storeType="OMEX"/>
  <we:alternateReferences>
    <we:reference id="WA104380955" version="2.2.1.0" store="WA104380955"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26.bin"/><Relationship Id="rId4" Type="http://schemas.openxmlformats.org/officeDocument/2006/relationships/comments" Target="../comments2.xml"/></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30"/>
  <sheetViews>
    <sheetView workbookViewId="0">
      <selection activeCell="J31" sqref="J31"/>
    </sheetView>
  </sheetViews>
  <sheetFormatPr defaultRowHeight="15" x14ac:dyDescent="0.25"/>
  <cols>
    <col min="1" max="1" width="12.7109375" customWidth="1"/>
    <col min="7" max="7" width="9.7109375" customWidth="1"/>
  </cols>
  <sheetData>
    <row r="1" spans="1:16" x14ac:dyDescent="0.25">
      <c r="A1" s="380" t="s">
        <v>619</v>
      </c>
      <c r="B1" s="374" t="s">
        <v>620</v>
      </c>
      <c r="C1" s="374"/>
      <c r="D1" s="374"/>
      <c r="E1" s="374" t="s">
        <v>625</v>
      </c>
      <c r="F1" s="374"/>
      <c r="G1" s="374"/>
      <c r="H1" s="375" t="s">
        <v>626</v>
      </c>
      <c r="I1" s="375"/>
      <c r="J1" s="375"/>
      <c r="K1" s="374" t="s">
        <v>627</v>
      </c>
      <c r="L1" s="374"/>
      <c r="M1" s="374"/>
      <c r="N1" s="374" t="s">
        <v>628</v>
      </c>
      <c r="O1" s="374"/>
      <c r="P1" s="374"/>
    </row>
    <row r="2" spans="1:16" x14ac:dyDescent="0.25">
      <c r="A2" s="380"/>
      <c r="B2" s="374" t="s">
        <v>621</v>
      </c>
      <c r="C2" s="374"/>
      <c r="D2" s="374"/>
      <c r="E2" s="374" t="s">
        <v>621</v>
      </c>
      <c r="F2" s="374"/>
      <c r="G2" s="374"/>
      <c r="H2" s="375"/>
      <c r="I2" s="375"/>
      <c r="J2" s="375"/>
      <c r="K2" s="374" t="s">
        <v>621</v>
      </c>
      <c r="L2" s="374"/>
      <c r="M2" s="374"/>
      <c r="N2" s="374" t="s">
        <v>621</v>
      </c>
      <c r="O2" s="374"/>
      <c r="P2" s="374"/>
    </row>
    <row r="3" spans="1:16" x14ac:dyDescent="0.25">
      <c r="A3" s="380"/>
      <c r="B3" t="s">
        <v>622</v>
      </c>
      <c r="C3" t="s">
        <v>623</v>
      </c>
      <c r="D3" t="s">
        <v>624</v>
      </c>
      <c r="E3" t="s">
        <v>622</v>
      </c>
      <c r="F3" t="s">
        <v>623</v>
      </c>
      <c r="G3" t="s">
        <v>624</v>
      </c>
      <c r="H3" t="s">
        <v>622</v>
      </c>
      <c r="I3" t="s">
        <v>623</v>
      </c>
      <c r="J3" t="s">
        <v>624</v>
      </c>
      <c r="K3" t="s">
        <v>622</v>
      </c>
      <c r="L3" t="s">
        <v>623</v>
      </c>
      <c r="M3" t="s">
        <v>624</v>
      </c>
      <c r="N3" t="s">
        <v>622</v>
      </c>
      <c r="O3" t="s">
        <v>623</v>
      </c>
      <c r="P3" t="s">
        <v>624</v>
      </c>
    </row>
    <row r="4" spans="1:16" x14ac:dyDescent="0.25">
      <c r="A4" t="s">
        <v>629</v>
      </c>
      <c r="B4">
        <v>0</v>
      </c>
      <c r="C4">
        <v>0</v>
      </c>
      <c r="D4">
        <v>0</v>
      </c>
      <c r="E4">
        <v>5</v>
      </c>
      <c r="F4">
        <v>5</v>
      </c>
      <c r="G4">
        <v>5</v>
      </c>
      <c r="H4" t="s">
        <v>657</v>
      </c>
      <c r="I4" t="s">
        <v>657</v>
      </c>
      <c r="J4" t="s">
        <v>657</v>
      </c>
      <c r="K4">
        <v>0</v>
      </c>
      <c r="L4">
        <v>0</v>
      </c>
      <c r="M4">
        <v>0</v>
      </c>
      <c r="N4">
        <v>0</v>
      </c>
      <c r="O4">
        <v>0</v>
      </c>
      <c r="P4">
        <v>0</v>
      </c>
    </row>
    <row r="5" spans="1:16" x14ac:dyDescent="0.25">
      <c r="A5" t="s">
        <v>630</v>
      </c>
      <c r="B5">
        <v>0</v>
      </c>
      <c r="C5">
        <v>0</v>
      </c>
      <c r="D5">
        <v>0</v>
      </c>
      <c r="E5">
        <v>5</v>
      </c>
      <c r="F5">
        <v>5</v>
      </c>
      <c r="G5">
        <v>5</v>
      </c>
      <c r="H5" t="s">
        <v>657</v>
      </c>
      <c r="I5" t="s">
        <v>657</v>
      </c>
      <c r="J5" t="s">
        <v>657</v>
      </c>
      <c r="K5">
        <v>0</v>
      </c>
      <c r="L5">
        <v>0</v>
      </c>
      <c r="M5">
        <v>0</v>
      </c>
      <c r="N5">
        <v>0</v>
      </c>
      <c r="O5">
        <v>0</v>
      </c>
      <c r="P5">
        <v>0</v>
      </c>
    </row>
    <row r="6" spans="1:16" x14ac:dyDescent="0.25">
      <c r="A6" t="s">
        <v>631</v>
      </c>
      <c r="B6">
        <v>0</v>
      </c>
      <c r="C6">
        <v>0</v>
      </c>
      <c r="D6">
        <v>0</v>
      </c>
      <c r="E6">
        <v>5</v>
      </c>
      <c r="F6">
        <v>5</v>
      </c>
      <c r="G6">
        <v>5</v>
      </c>
      <c r="H6" t="s">
        <v>657</v>
      </c>
      <c r="I6" t="s">
        <v>657</v>
      </c>
      <c r="J6" t="s">
        <v>657</v>
      </c>
      <c r="K6">
        <v>0</v>
      </c>
      <c r="L6">
        <v>0</v>
      </c>
      <c r="M6">
        <v>0</v>
      </c>
      <c r="N6">
        <v>0</v>
      </c>
      <c r="O6">
        <v>0</v>
      </c>
      <c r="P6">
        <v>0</v>
      </c>
    </row>
    <row r="7" spans="1:16" x14ac:dyDescent="0.25">
      <c r="A7" t="s">
        <v>632</v>
      </c>
      <c r="B7">
        <v>0</v>
      </c>
      <c r="C7">
        <v>0</v>
      </c>
      <c r="D7">
        <v>0</v>
      </c>
      <c r="E7">
        <v>5</v>
      </c>
      <c r="F7">
        <v>5</v>
      </c>
      <c r="G7">
        <v>5</v>
      </c>
      <c r="H7" t="s">
        <v>657</v>
      </c>
      <c r="I7" t="s">
        <v>657</v>
      </c>
      <c r="J7" t="s">
        <v>657</v>
      </c>
      <c r="K7">
        <v>0</v>
      </c>
      <c r="L7">
        <v>0</v>
      </c>
      <c r="M7">
        <v>0</v>
      </c>
      <c r="N7">
        <v>0</v>
      </c>
      <c r="O7">
        <v>0</v>
      </c>
      <c r="P7">
        <v>0</v>
      </c>
    </row>
    <row r="8" spans="1:16" x14ac:dyDescent="0.25">
      <c r="A8" t="s">
        <v>633</v>
      </c>
      <c r="B8">
        <v>0</v>
      </c>
      <c r="C8">
        <v>0</v>
      </c>
      <c r="D8">
        <v>0</v>
      </c>
      <c r="E8">
        <v>5</v>
      </c>
      <c r="F8">
        <v>5</v>
      </c>
      <c r="G8">
        <v>5</v>
      </c>
      <c r="H8" t="s">
        <v>657</v>
      </c>
      <c r="I8" t="s">
        <v>657</v>
      </c>
      <c r="J8" t="s">
        <v>657</v>
      </c>
      <c r="K8">
        <v>0</v>
      </c>
      <c r="L8">
        <v>0</v>
      </c>
      <c r="M8">
        <v>0</v>
      </c>
      <c r="N8">
        <v>0</v>
      </c>
      <c r="O8">
        <v>0</v>
      </c>
      <c r="P8">
        <v>0</v>
      </c>
    </row>
    <row r="9" spans="1:16" x14ac:dyDescent="0.25">
      <c r="A9" t="s">
        <v>634</v>
      </c>
      <c r="B9">
        <v>0</v>
      </c>
      <c r="C9">
        <v>0</v>
      </c>
      <c r="D9">
        <v>0</v>
      </c>
      <c r="E9">
        <v>5</v>
      </c>
      <c r="F9">
        <v>5</v>
      </c>
      <c r="G9">
        <v>5</v>
      </c>
      <c r="H9" t="s">
        <v>658</v>
      </c>
      <c r="I9" t="s">
        <v>657</v>
      </c>
      <c r="J9" t="s">
        <v>657</v>
      </c>
      <c r="K9">
        <v>0</v>
      </c>
      <c r="L9">
        <v>0</v>
      </c>
      <c r="M9">
        <v>0</v>
      </c>
      <c r="N9">
        <v>0</v>
      </c>
      <c r="O9">
        <v>0</v>
      </c>
      <c r="P9">
        <v>0</v>
      </c>
    </row>
    <row r="10" spans="1:16" x14ac:dyDescent="0.25">
      <c r="A10" t="s">
        <v>635</v>
      </c>
      <c r="B10">
        <v>0</v>
      </c>
      <c r="C10">
        <v>0</v>
      </c>
      <c r="D10">
        <v>0</v>
      </c>
      <c r="E10" t="s">
        <v>653</v>
      </c>
      <c r="F10">
        <v>5</v>
      </c>
      <c r="G10">
        <v>5</v>
      </c>
      <c r="H10" t="s">
        <v>658</v>
      </c>
      <c r="I10" t="s">
        <v>658</v>
      </c>
      <c r="J10" t="s">
        <v>658</v>
      </c>
      <c r="K10">
        <v>0</v>
      </c>
      <c r="L10">
        <v>0</v>
      </c>
      <c r="M10">
        <v>0</v>
      </c>
      <c r="N10">
        <v>0</v>
      </c>
      <c r="O10">
        <v>0</v>
      </c>
      <c r="P10">
        <v>0</v>
      </c>
    </row>
    <row r="11" spans="1:16" x14ac:dyDescent="0.25">
      <c r="A11" t="s">
        <v>636</v>
      </c>
      <c r="B11">
        <v>0</v>
      </c>
      <c r="C11">
        <v>0</v>
      </c>
      <c r="D11">
        <v>0</v>
      </c>
      <c r="E11" t="s">
        <v>653</v>
      </c>
      <c r="F11">
        <v>30</v>
      </c>
      <c r="G11">
        <v>30</v>
      </c>
      <c r="H11" t="s">
        <v>658</v>
      </c>
      <c r="I11" t="s">
        <v>658</v>
      </c>
      <c r="J11" t="s">
        <v>658</v>
      </c>
      <c r="K11">
        <v>0</v>
      </c>
      <c r="L11">
        <v>0</v>
      </c>
      <c r="M11">
        <v>0</v>
      </c>
      <c r="N11">
        <v>0</v>
      </c>
      <c r="O11">
        <v>0</v>
      </c>
      <c r="P11">
        <v>0</v>
      </c>
    </row>
    <row r="12" spans="1:16" x14ac:dyDescent="0.25">
      <c r="A12" t="s">
        <v>637</v>
      </c>
      <c r="B12">
        <v>20</v>
      </c>
      <c r="C12">
        <v>20</v>
      </c>
      <c r="D12">
        <v>10</v>
      </c>
      <c r="E12" t="s">
        <v>653</v>
      </c>
      <c r="F12">
        <v>30</v>
      </c>
      <c r="G12">
        <v>30</v>
      </c>
      <c r="H12" t="s">
        <v>658</v>
      </c>
      <c r="I12" t="s">
        <v>658</v>
      </c>
      <c r="J12" t="s">
        <v>658</v>
      </c>
      <c r="K12">
        <v>0</v>
      </c>
      <c r="L12">
        <v>0</v>
      </c>
      <c r="M12">
        <v>0</v>
      </c>
      <c r="N12">
        <v>0</v>
      </c>
      <c r="O12">
        <v>0</v>
      </c>
      <c r="P12">
        <v>0</v>
      </c>
    </row>
    <row r="13" spans="1:16" x14ac:dyDescent="0.25">
      <c r="A13" t="s">
        <v>638</v>
      </c>
      <c r="B13">
        <v>20</v>
      </c>
      <c r="C13">
        <v>20</v>
      </c>
      <c r="D13">
        <v>10</v>
      </c>
      <c r="E13" t="s">
        <v>654</v>
      </c>
      <c r="F13" t="s">
        <v>655</v>
      </c>
      <c r="G13">
        <v>30</v>
      </c>
      <c r="H13" t="s">
        <v>658</v>
      </c>
      <c r="I13" t="s">
        <v>658</v>
      </c>
      <c r="J13" t="s">
        <v>658</v>
      </c>
      <c r="K13">
        <v>5</v>
      </c>
      <c r="L13">
        <v>5</v>
      </c>
      <c r="M13">
        <v>5</v>
      </c>
      <c r="N13">
        <v>0</v>
      </c>
      <c r="O13">
        <v>0</v>
      </c>
      <c r="P13">
        <v>0</v>
      </c>
    </row>
    <row r="14" spans="1:16" x14ac:dyDescent="0.25">
      <c r="A14" t="s">
        <v>639</v>
      </c>
      <c r="B14">
        <v>20</v>
      </c>
      <c r="C14">
        <v>20</v>
      </c>
      <c r="D14">
        <v>10</v>
      </c>
      <c r="E14" t="s">
        <v>654</v>
      </c>
      <c r="F14" t="s">
        <v>655</v>
      </c>
      <c r="G14">
        <v>30</v>
      </c>
      <c r="H14" t="s">
        <v>658</v>
      </c>
      <c r="I14" t="s">
        <v>658</v>
      </c>
      <c r="J14" t="s">
        <v>658</v>
      </c>
      <c r="K14">
        <v>5</v>
      </c>
      <c r="L14">
        <v>5</v>
      </c>
      <c r="M14">
        <v>5</v>
      </c>
      <c r="N14">
        <v>0</v>
      </c>
      <c r="O14">
        <v>0</v>
      </c>
      <c r="P14">
        <v>0</v>
      </c>
    </row>
    <row r="15" spans="1:16" x14ac:dyDescent="0.25">
      <c r="A15" t="s">
        <v>640</v>
      </c>
      <c r="B15">
        <v>80</v>
      </c>
      <c r="C15">
        <v>60</v>
      </c>
      <c r="D15">
        <v>10</v>
      </c>
      <c r="E15" t="s">
        <v>654</v>
      </c>
      <c r="F15" t="s">
        <v>655</v>
      </c>
      <c r="G15">
        <v>30</v>
      </c>
      <c r="H15" t="s">
        <v>658</v>
      </c>
      <c r="I15" t="s">
        <v>658</v>
      </c>
      <c r="J15" t="s">
        <v>658</v>
      </c>
      <c r="K15">
        <v>35</v>
      </c>
      <c r="L15">
        <v>20</v>
      </c>
      <c r="M15">
        <v>10</v>
      </c>
      <c r="N15">
        <v>0</v>
      </c>
      <c r="O15">
        <v>0</v>
      </c>
      <c r="P15">
        <v>0</v>
      </c>
    </row>
    <row r="16" spans="1:16" x14ac:dyDescent="0.25">
      <c r="A16" t="s">
        <v>641</v>
      </c>
      <c r="B16">
        <v>80</v>
      </c>
      <c r="C16">
        <v>60</v>
      </c>
      <c r="D16">
        <v>10</v>
      </c>
      <c r="E16" t="s">
        <v>654</v>
      </c>
      <c r="F16" t="s">
        <v>655</v>
      </c>
      <c r="G16" t="s">
        <v>656</v>
      </c>
      <c r="H16" t="s">
        <v>658</v>
      </c>
      <c r="I16" t="s">
        <v>658</v>
      </c>
      <c r="J16" t="s">
        <v>658</v>
      </c>
      <c r="K16">
        <v>5</v>
      </c>
      <c r="L16">
        <v>0</v>
      </c>
      <c r="M16">
        <v>0</v>
      </c>
      <c r="N16">
        <v>0</v>
      </c>
      <c r="O16">
        <v>0</v>
      </c>
      <c r="P16">
        <v>0</v>
      </c>
    </row>
    <row r="17" spans="1:16" x14ac:dyDescent="0.25">
      <c r="A17" t="s">
        <v>642</v>
      </c>
      <c r="B17">
        <v>80</v>
      </c>
      <c r="C17">
        <v>60</v>
      </c>
      <c r="D17">
        <v>70</v>
      </c>
      <c r="E17" t="s">
        <v>654</v>
      </c>
      <c r="F17" t="s">
        <v>655</v>
      </c>
      <c r="G17" t="s">
        <v>656</v>
      </c>
      <c r="H17" t="s">
        <v>658</v>
      </c>
      <c r="I17" t="s">
        <v>658</v>
      </c>
      <c r="J17" t="s">
        <v>658</v>
      </c>
      <c r="K17">
        <v>5</v>
      </c>
      <c r="L17">
        <v>0</v>
      </c>
      <c r="M17">
        <v>0</v>
      </c>
      <c r="N17">
        <v>0</v>
      </c>
      <c r="O17">
        <v>0</v>
      </c>
      <c r="P17">
        <v>0</v>
      </c>
    </row>
    <row r="18" spans="1:16" x14ac:dyDescent="0.25">
      <c r="A18" t="s">
        <v>643</v>
      </c>
      <c r="B18">
        <v>80</v>
      </c>
      <c r="C18">
        <v>60</v>
      </c>
      <c r="D18">
        <v>70</v>
      </c>
      <c r="E18" t="s">
        <v>654</v>
      </c>
      <c r="F18" t="s">
        <v>655</v>
      </c>
      <c r="G18" t="s">
        <v>656</v>
      </c>
      <c r="H18" t="s">
        <v>658</v>
      </c>
      <c r="I18" t="s">
        <v>658</v>
      </c>
      <c r="J18" t="s">
        <v>658</v>
      </c>
      <c r="K18">
        <v>5</v>
      </c>
      <c r="L18">
        <v>0</v>
      </c>
      <c r="M18">
        <v>0</v>
      </c>
      <c r="N18">
        <v>0</v>
      </c>
      <c r="O18">
        <v>0</v>
      </c>
      <c r="P18">
        <v>0</v>
      </c>
    </row>
    <row r="19" spans="1:16" x14ac:dyDescent="0.25">
      <c r="A19" t="s">
        <v>644</v>
      </c>
      <c r="B19">
        <v>80</v>
      </c>
      <c r="C19">
        <v>60</v>
      </c>
      <c r="D19">
        <v>70</v>
      </c>
      <c r="E19" t="s">
        <v>654</v>
      </c>
      <c r="F19" t="s">
        <v>655</v>
      </c>
      <c r="G19" t="s">
        <v>656</v>
      </c>
      <c r="H19" t="s">
        <v>658</v>
      </c>
      <c r="I19" t="s">
        <v>658</v>
      </c>
      <c r="J19" t="s">
        <v>658</v>
      </c>
      <c r="K19">
        <v>5</v>
      </c>
      <c r="L19">
        <v>0</v>
      </c>
      <c r="M19">
        <v>0</v>
      </c>
      <c r="N19">
        <v>0</v>
      </c>
      <c r="O19">
        <v>0</v>
      </c>
      <c r="P19">
        <v>0</v>
      </c>
    </row>
    <row r="20" spans="1:16" x14ac:dyDescent="0.25">
      <c r="A20" t="s">
        <v>645</v>
      </c>
      <c r="B20">
        <v>80</v>
      </c>
      <c r="C20">
        <v>60</v>
      </c>
      <c r="D20">
        <v>70</v>
      </c>
      <c r="E20" t="s">
        <v>654</v>
      </c>
      <c r="F20" t="s">
        <v>655</v>
      </c>
      <c r="G20" t="s">
        <v>656</v>
      </c>
      <c r="H20" t="s">
        <v>658</v>
      </c>
      <c r="I20" t="s">
        <v>658</v>
      </c>
      <c r="J20" t="s">
        <v>658</v>
      </c>
      <c r="K20">
        <v>5</v>
      </c>
      <c r="L20">
        <v>0</v>
      </c>
      <c r="M20">
        <v>0</v>
      </c>
      <c r="N20">
        <v>0</v>
      </c>
      <c r="O20">
        <v>0</v>
      </c>
      <c r="P20">
        <v>0</v>
      </c>
    </row>
    <row r="21" spans="1:16" x14ac:dyDescent="0.25">
      <c r="A21" t="s">
        <v>646</v>
      </c>
      <c r="B21">
        <v>80</v>
      </c>
      <c r="C21">
        <v>60</v>
      </c>
      <c r="D21">
        <v>70</v>
      </c>
      <c r="E21" t="s">
        <v>654</v>
      </c>
      <c r="F21" t="s">
        <v>655</v>
      </c>
      <c r="G21" t="s">
        <v>656</v>
      </c>
      <c r="H21" t="s">
        <v>658</v>
      </c>
      <c r="I21" t="s">
        <v>658</v>
      </c>
      <c r="J21" t="s">
        <v>658</v>
      </c>
      <c r="K21">
        <v>0</v>
      </c>
      <c r="L21">
        <v>0</v>
      </c>
      <c r="M21">
        <v>0</v>
      </c>
      <c r="N21">
        <v>0</v>
      </c>
      <c r="O21">
        <v>0</v>
      </c>
      <c r="P21">
        <v>0</v>
      </c>
    </row>
    <row r="22" spans="1:16" x14ac:dyDescent="0.25">
      <c r="A22" t="s">
        <v>647</v>
      </c>
      <c r="B22">
        <v>20</v>
      </c>
      <c r="C22">
        <v>60</v>
      </c>
      <c r="D22">
        <v>70</v>
      </c>
      <c r="E22" t="s">
        <v>654</v>
      </c>
      <c r="F22" t="s">
        <v>655</v>
      </c>
      <c r="G22" t="s">
        <v>656</v>
      </c>
      <c r="H22" t="s">
        <v>658</v>
      </c>
      <c r="I22" t="s">
        <v>658</v>
      </c>
      <c r="J22" t="s">
        <v>658</v>
      </c>
      <c r="K22">
        <v>0</v>
      </c>
      <c r="L22">
        <v>0</v>
      </c>
      <c r="M22">
        <v>0</v>
      </c>
      <c r="N22">
        <v>0</v>
      </c>
      <c r="O22">
        <v>0</v>
      </c>
      <c r="P22">
        <v>0</v>
      </c>
    </row>
    <row r="23" spans="1:16" x14ac:dyDescent="0.25">
      <c r="A23" t="s">
        <v>648</v>
      </c>
      <c r="B23">
        <v>20</v>
      </c>
      <c r="C23">
        <v>60</v>
      </c>
      <c r="D23">
        <v>70</v>
      </c>
      <c r="E23" t="s">
        <v>654</v>
      </c>
      <c r="F23" t="s">
        <v>655</v>
      </c>
      <c r="G23" t="s">
        <v>656</v>
      </c>
      <c r="H23" t="s">
        <v>658</v>
      </c>
      <c r="I23" t="s">
        <v>658</v>
      </c>
      <c r="J23" t="s">
        <v>658</v>
      </c>
      <c r="K23">
        <v>0</v>
      </c>
      <c r="L23">
        <v>65</v>
      </c>
      <c r="M23">
        <v>65</v>
      </c>
      <c r="N23">
        <v>0</v>
      </c>
      <c r="O23">
        <v>0</v>
      </c>
      <c r="P23">
        <v>0</v>
      </c>
    </row>
    <row r="24" spans="1:16" x14ac:dyDescent="0.25">
      <c r="A24" t="s">
        <v>649</v>
      </c>
      <c r="B24">
        <v>20</v>
      </c>
      <c r="C24">
        <v>60</v>
      </c>
      <c r="D24">
        <v>70</v>
      </c>
      <c r="E24" t="s">
        <v>654</v>
      </c>
      <c r="F24" t="s">
        <v>655</v>
      </c>
      <c r="G24" t="s">
        <v>656</v>
      </c>
      <c r="H24" t="s">
        <v>658</v>
      </c>
      <c r="I24" t="s">
        <v>658</v>
      </c>
      <c r="J24" t="s">
        <v>658</v>
      </c>
      <c r="K24">
        <v>0</v>
      </c>
      <c r="L24">
        <v>30</v>
      </c>
      <c r="M24">
        <v>30</v>
      </c>
      <c r="N24">
        <v>0</v>
      </c>
      <c r="O24">
        <v>0</v>
      </c>
      <c r="P24">
        <v>0</v>
      </c>
    </row>
    <row r="25" spans="1:16" x14ac:dyDescent="0.25">
      <c r="A25" t="s">
        <v>650</v>
      </c>
      <c r="B25">
        <v>20</v>
      </c>
      <c r="C25">
        <v>80</v>
      </c>
      <c r="D25">
        <v>70</v>
      </c>
      <c r="E25" t="s">
        <v>654</v>
      </c>
      <c r="F25" t="s">
        <v>655</v>
      </c>
      <c r="G25" t="s">
        <v>656</v>
      </c>
      <c r="H25" t="s">
        <v>658</v>
      </c>
      <c r="I25" t="s">
        <v>658</v>
      </c>
      <c r="J25" t="s">
        <v>658</v>
      </c>
      <c r="K25">
        <v>0</v>
      </c>
      <c r="L25">
        <v>0</v>
      </c>
      <c r="M25">
        <v>0</v>
      </c>
      <c r="N25">
        <v>0</v>
      </c>
      <c r="O25">
        <v>0</v>
      </c>
      <c r="P25">
        <v>0</v>
      </c>
    </row>
    <row r="26" spans="1:16" x14ac:dyDescent="0.25">
      <c r="A26" t="s">
        <v>651</v>
      </c>
      <c r="B26">
        <v>10</v>
      </c>
      <c r="C26">
        <v>10</v>
      </c>
      <c r="D26">
        <v>20</v>
      </c>
      <c r="E26">
        <v>25</v>
      </c>
      <c r="F26" t="s">
        <v>655</v>
      </c>
      <c r="G26" t="s">
        <v>656</v>
      </c>
      <c r="H26" t="s">
        <v>658</v>
      </c>
      <c r="I26" t="s">
        <v>658</v>
      </c>
      <c r="J26" t="s">
        <v>658</v>
      </c>
      <c r="K26">
        <v>0</v>
      </c>
      <c r="L26">
        <v>0</v>
      </c>
      <c r="M26">
        <v>0</v>
      </c>
      <c r="N26">
        <v>0</v>
      </c>
      <c r="O26">
        <v>0</v>
      </c>
      <c r="P26">
        <v>0</v>
      </c>
    </row>
    <row r="27" spans="1:16" x14ac:dyDescent="0.25">
      <c r="A27" t="s">
        <v>652</v>
      </c>
      <c r="B27">
        <v>0</v>
      </c>
      <c r="C27">
        <v>0</v>
      </c>
      <c r="D27">
        <v>0</v>
      </c>
      <c r="E27">
        <v>5</v>
      </c>
      <c r="F27">
        <v>5</v>
      </c>
      <c r="G27">
        <v>5</v>
      </c>
      <c r="H27" t="s">
        <v>657</v>
      </c>
      <c r="I27" t="s">
        <v>657</v>
      </c>
      <c r="J27" t="s">
        <v>657</v>
      </c>
      <c r="K27">
        <v>0</v>
      </c>
      <c r="L27">
        <v>0</v>
      </c>
      <c r="M27">
        <v>0</v>
      </c>
      <c r="N27">
        <v>0</v>
      </c>
      <c r="O27">
        <v>0</v>
      </c>
      <c r="P27">
        <v>0</v>
      </c>
    </row>
    <row r="28" spans="1:16" x14ac:dyDescent="0.25">
      <c r="A28" t="s">
        <v>659</v>
      </c>
      <c r="B28">
        <f>SUM(B4:B27)</f>
        <v>710</v>
      </c>
      <c r="C28">
        <f t="shared" ref="C28:P28" si="0">SUM(C4:C27)</f>
        <v>750</v>
      </c>
      <c r="D28">
        <f t="shared" si="0"/>
        <v>700</v>
      </c>
      <c r="E28" t="s">
        <v>662</v>
      </c>
      <c r="F28" t="s">
        <v>663</v>
      </c>
      <c r="G28" t="s">
        <v>664</v>
      </c>
      <c r="H28">
        <v>1800</v>
      </c>
      <c r="I28">
        <v>1700</v>
      </c>
      <c r="J28">
        <v>1700</v>
      </c>
      <c r="K28">
        <f t="shared" si="0"/>
        <v>70</v>
      </c>
      <c r="L28">
        <f t="shared" si="0"/>
        <v>125</v>
      </c>
      <c r="M28">
        <f t="shared" si="0"/>
        <v>115</v>
      </c>
      <c r="N28">
        <f t="shared" si="0"/>
        <v>0</v>
      </c>
      <c r="O28">
        <f t="shared" si="0"/>
        <v>0</v>
      </c>
      <c r="P28">
        <f t="shared" si="0"/>
        <v>0</v>
      </c>
    </row>
    <row r="29" spans="1:16" x14ac:dyDescent="0.25">
      <c r="A29" t="s">
        <v>660</v>
      </c>
      <c r="B29" s="376">
        <f>((B28/100)*5+C28/100+D28/100)</f>
        <v>50</v>
      </c>
      <c r="C29" s="376"/>
      <c r="D29" s="376"/>
      <c r="E29" s="378" t="s">
        <v>671</v>
      </c>
      <c r="F29" s="376"/>
      <c r="G29" s="376"/>
      <c r="H29" s="376">
        <f t="shared" ref="H29" si="1">((H28/100)*5+I28/100+J28/100)</f>
        <v>124</v>
      </c>
      <c r="I29" s="376"/>
      <c r="J29" s="376"/>
      <c r="K29" s="376">
        <f t="shared" ref="K29" si="2">((K28/100)*5+L28/100+M28/100)</f>
        <v>5.9</v>
      </c>
      <c r="L29" s="376"/>
      <c r="M29" s="376"/>
      <c r="N29" s="376">
        <f t="shared" ref="N29" si="3">((N28/100)*5+O28/100+P28/100)</f>
        <v>0</v>
      </c>
      <c r="O29" s="376"/>
      <c r="P29" s="376"/>
    </row>
    <row r="30" spans="1:16" x14ac:dyDescent="0.25">
      <c r="A30" t="s">
        <v>661</v>
      </c>
      <c r="B30" s="377">
        <f>B29*52.14</f>
        <v>2607</v>
      </c>
      <c r="C30" s="377"/>
      <c r="D30" s="377"/>
      <c r="E30" s="379" t="s">
        <v>672</v>
      </c>
      <c r="F30" s="377"/>
      <c r="G30" s="377"/>
      <c r="H30" s="377">
        <f t="shared" ref="H30" si="4">H29*52.14</f>
        <v>6465.36</v>
      </c>
      <c r="I30" s="377"/>
      <c r="J30" s="377"/>
      <c r="K30" s="377">
        <f t="shared" ref="K30" si="5">K29*52.14</f>
        <v>307.62600000000003</v>
      </c>
      <c r="L30" s="377"/>
      <c r="M30" s="377"/>
      <c r="N30" s="377">
        <f t="shared" ref="N30" si="6">N29*52.14</f>
        <v>0</v>
      </c>
      <c r="O30" s="377"/>
      <c r="P30" s="377"/>
    </row>
  </sheetData>
  <mergeCells count="20">
    <mergeCell ref="A1:A3"/>
    <mergeCell ref="B2:D2"/>
    <mergeCell ref="E1:G1"/>
    <mergeCell ref="E2:G2"/>
    <mergeCell ref="K1:M1"/>
    <mergeCell ref="K2:M2"/>
    <mergeCell ref="N1:P1"/>
    <mergeCell ref="N2:P2"/>
    <mergeCell ref="H1:J2"/>
    <mergeCell ref="B29:D29"/>
    <mergeCell ref="B30:D30"/>
    <mergeCell ref="B1:D1"/>
    <mergeCell ref="H29:J29"/>
    <mergeCell ref="H30:J30"/>
    <mergeCell ref="K29:M29"/>
    <mergeCell ref="K30:M30"/>
    <mergeCell ref="N29:P29"/>
    <mergeCell ref="N30:P30"/>
    <mergeCell ref="E29:G29"/>
    <mergeCell ref="E30:G3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59999389629810485"/>
  </sheetPr>
  <dimension ref="A1:AD24"/>
  <sheetViews>
    <sheetView workbookViewId="0">
      <selection activeCell="G43" sqref="E43:G44"/>
    </sheetView>
  </sheetViews>
  <sheetFormatPr defaultRowHeight="12.75" x14ac:dyDescent="0.2"/>
  <cols>
    <col min="1" max="1" width="29.85546875" style="28" bestFit="1" customWidth="1"/>
    <col min="2" max="2" width="11.85546875" style="16" bestFit="1" customWidth="1"/>
    <col min="3" max="3" width="11.85546875" style="16" customWidth="1"/>
    <col min="4" max="4" width="4.5703125" style="29" bestFit="1" customWidth="1"/>
    <col min="5" max="6" width="5.140625" style="29" bestFit="1" customWidth="1"/>
    <col min="7" max="7" width="4.5703125" style="29" bestFit="1" customWidth="1"/>
    <col min="8" max="8" width="5.140625" style="29" bestFit="1" customWidth="1"/>
    <col min="9" max="9" width="4" style="30" bestFit="1" customWidth="1"/>
    <col min="10" max="13" width="4.5703125" style="30" bestFit="1" customWidth="1"/>
    <col min="14" max="14" width="14.42578125" style="16" bestFit="1" customWidth="1"/>
    <col min="15" max="15" width="13.42578125" style="16" bestFit="1" customWidth="1"/>
    <col min="16" max="16" width="9.140625" style="15"/>
    <col min="17" max="17" width="49" style="15" bestFit="1" customWidth="1"/>
    <col min="18" max="18" width="11.85546875" style="15" bestFit="1" customWidth="1"/>
    <col min="19" max="23" width="4.5703125" style="15" bestFit="1" customWidth="1"/>
    <col min="24" max="24" width="4" style="15" bestFit="1" customWidth="1"/>
    <col min="25" max="28" width="4.5703125" style="15" bestFit="1" customWidth="1"/>
    <col min="29" max="29" width="14.42578125" style="15" bestFit="1" customWidth="1"/>
    <col min="30" max="30" width="13.42578125" style="15" bestFit="1" customWidth="1"/>
    <col min="31" max="256" width="9.140625" style="15"/>
    <col min="257" max="257" width="29.85546875" style="15" bestFit="1" customWidth="1"/>
    <col min="258" max="258" width="11.85546875" style="15" bestFit="1" customWidth="1"/>
    <col min="259" max="259" width="11.85546875" style="15" customWidth="1"/>
    <col min="260" max="260" width="4.5703125" style="15" bestFit="1" customWidth="1"/>
    <col min="261" max="262" width="5.140625" style="15" bestFit="1" customWidth="1"/>
    <col min="263" max="263" width="4.5703125" style="15" bestFit="1" customWidth="1"/>
    <col min="264" max="264" width="5.140625" style="15" bestFit="1" customWidth="1"/>
    <col min="265" max="265" width="4" style="15" bestFit="1" customWidth="1"/>
    <col min="266" max="269" width="4.5703125" style="15" bestFit="1" customWidth="1"/>
    <col min="270" max="270" width="14.42578125" style="15" bestFit="1" customWidth="1"/>
    <col min="271" max="271" width="13.42578125" style="15" bestFit="1" customWidth="1"/>
    <col min="272" max="272" width="9.140625" style="15"/>
    <col min="273" max="273" width="49" style="15" bestFit="1" customWidth="1"/>
    <col min="274" max="274" width="11.85546875" style="15" bestFit="1" customWidth="1"/>
    <col min="275" max="279" width="4.5703125" style="15" bestFit="1" customWidth="1"/>
    <col min="280" max="280" width="4" style="15" bestFit="1" customWidth="1"/>
    <col min="281" max="284" width="4.5703125" style="15" bestFit="1" customWidth="1"/>
    <col min="285" max="285" width="14.42578125" style="15" bestFit="1" customWidth="1"/>
    <col min="286" max="286" width="13.42578125" style="15" bestFit="1" customWidth="1"/>
    <col min="287" max="512" width="9.140625" style="15"/>
    <col min="513" max="513" width="29.85546875" style="15" bestFit="1" customWidth="1"/>
    <col min="514" max="514" width="11.85546875" style="15" bestFit="1" customWidth="1"/>
    <col min="515" max="515" width="11.85546875" style="15" customWidth="1"/>
    <col min="516" max="516" width="4.5703125" style="15" bestFit="1" customWidth="1"/>
    <col min="517" max="518" width="5.140625" style="15" bestFit="1" customWidth="1"/>
    <col min="519" max="519" width="4.5703125" style="15" bestFit="1" customWidth="1"/>
    <col min="520" max="520" width="5.140625" style="15" bestFit="1" customWidth="1"/>
    <col min="521" max="521" width="4" style="15" bestFit="1" customWidth="1"/>
    <col min="522" max="525" width="4.5703125" style="15" bestFit="1" customWidth="1"/>
    <col min="526" max="526" width="14.42578125" style="15" bestFit="1" customWidth="1"/>
    <col min="527" max="527" width="13.42578125" style="15" bestFit="1" customWidth="1"/>
    <col min="528" max="528" width="9.140625" style="15"/>
    <col min="529" max="529" width="49" style="15" bestFit="1" customWidth="1"/>
    <col min="530" max="530" width="11.85546875" style="15" bestFit="1" customWidth="1"/>
    <col min="531" max="535" width="4.5703125" style="15" bestFit="1" customWidth="1"/>
    <col min="536" max="536" width="4" style="15" bestFit="1" customWidth="1"/>
    <col min="537" max="540" width="4.5703125" style="15" bestFit="1" customWidth="1"/>
    <col min="541" max="541" width="14.42578125" style="15" bestFit="1" customWidth="1"/>
    <col min="542" max="542" width="13.42578125" style="15" bestFit="1" customWidth="1"/>
    <col min="543" max="768" width="9.140625" style="15"/>
    <col min="769" max="769" width="29.85546875" style="15" bestFit="1" customWidth="1"/>
    <col min="770" max="770" width="11.85546875" style="15" bestFit="1" customWidth="1"/>
    <col min="771" max="771" width="11.85546875" style="15" customWidth="1"/>
    <col min="772" max="772" width="4.5703125" style="15" bestFit="1" customWidth="1"/>
    <col min="773" max="774" width="5.140625" style="15" bestFit="1" customWidth="1"/>
    <col min="775" max="775" width="4.5703125" style="15" bestFit="1" customWidth="1"/>
    <col min="776" max="776" width="5.140625" style="15" bestFit="1" customWidth="1"/>
    <col min="777" max="777" width="4" style="15" bestFit="1" customWidth="1"/>
    <col min="778" max="781" width="4.5703125" style="15" bestFit="1" customWidth="1"/>
    <col min="782" max="782" width="14.42578125" style="15" bestFit="1" customWidth="1"/>
    <col min="783" max="783" width="13.42578125" style="15" bestFit="1" customWidth="1"/>
    <col min="784" max="784" width="9.140625" style="15"/>
    <col min="785" max="785" width="49" style="15" bestFit="1" customWidth="1"/>
    <col min="786" max="786" width="11.85546875" style="15" bestFit="1" customWidth="1"/>
    <col min="787" max="791" width="4.5703125" style="15" bestFit="1" customWidth="1"/>
    <col min="792" max="792" width="4" style="15" bestFit="1" customWidth="1"/>
    <col min="793" max="796" width="4.5703125" style="15" bestFit="1" customWidth="1"/>
    <col min="797" max="797" width="14.42578125" style="15" bestFit="1" customWidth="1"/>
    <col min="798" max="798" width="13.42578125" style="15" bestFit="1" customWidth="1"/>
    <col min="799" max="1024" width="9.140625" style="15"/>
    <col min="1025" max="1025" width="29.85546875" style="15" bestFit="1" customWidth="1"/>
    <col min="1026" max="1026" width="11.85546875" style="15" bestFit="1" customWidth="1"/>
    <col min="1027" max="1027" width="11.85546875" style="15" customWidth="1"/>
    <col min="1028" max="1028" width="4.5703125" style="15" bestFit="1" customWidth="1"/>
    <col min="1029" max="1030" width="5.140625" style="15" bestFit="1" customWidth="1"/>
    <col min="1031" max="1031" width="4.5703125" style="15" bestFit="1" customWidth="1"/>
    <col min="1032" max="1032" width="5.140625" style="15" bestFit="1" customWidth="1"/>
    <col min="1033" max="1033" width="4" style="15" bestFit="1" customWidth="1"/>
    <col min="1034" max="1037" width="4.5703125" style="15" bestFit="1" customWidth="1"/>
    <col min="1038" max="1038" width="14.42578125" style="15" bestFit="1" customWidth="1"/>
    <col min="1039" max="1039" width="13.42578125" style="15" bestFit="1" customWidth="1"/>
    <col min="1040" max="1040" width="9.140625" style="15"/>
    <col min="1041" max="1041" width="49" style="15" bestFit="1" customWidth="1"/>
    <col min="1042" max="1042" width="11.85546875" style="15" bestFit="1" customWidth="1"/>
    <col min="1043" max="1047" width="4.5703125" style="15" bestFit="1" customWidth="1"/>
    <col min="1048" max="1048" width="4" style="15" bestFit="1" customWidth="1"/>
    <col min="1049" max="1052" width="4.5703125" style="15" bestFit="1" customWidth="1"/>
    <col min="1053" max="1053" width="14.42578125" style="15" bestFit="1" customWidth="1"/>
    <col min="1054" max="1054" width="13.42578125" style="15" bestFit="1" customWidth="1"/>
    <col min="1055" max="1280" width="9.140625" style="15"/>
    <col min="1281" max="1281" width="29.85546875" style="15" bestFit="1" customWidth="1"/>
    <col min="1282" max="1282" width="11.85546875" style="15" bestFit="1" customWidth="1"/>
    <col min="1283" max="1283" width="11.85546875" style="15" customWidth="1"/>
    <col min="1284" max="1284" width="4.5703125" style="15" bestFit="1" customWidth="1"/>
    <col min="1285" max="1286" width="5.140625" style="15" bestFit="1" customWidth="1"/>
    <col min="1287" max="1287" width="4.5703125" style="15" bestFit="1" customWidth="1"/>
    <col min="1288" max="1288" width="5.140625" style="15" bestFit="1" customWidth="1"/>
    <col min="1289" max="1289" width="4" style="15" bestFit="1" customWidth="1"/>
    <col min="1290" max="1293" width="4.5703125" style="15" bestFit="1" customWidth="1"/>
    <col min="1294" max="1294" width="14.42578125" style="15" bestFit="1" customWidth="1"/>
    <col min="1295" max="1295" width="13.42578125" style="15" bestFit="1" customWidth="1"/>
    <col min="1296" max="1296" width="9.140625" style="15"/>
    <col min="1297" max="1297" width="49" style="15" bestFit="1" customWidth="1"/>
    <col min="1298" max="1298" width="11.85546875" style="15" bestFit="1" customWidth="1"/>
    <col min="1299" max="1303" width="4.5703125" style="15" bestFit="1" customWidth="1"/>
    <col min="1304" max="1304" width="4" style="15" bestFit="1" customWidth="1"/>
    <col min="1305" max="1308" width="4.5703125" style="15" bestFit="1" customWidth="1"/>
    <col min="1309" max="1309" width="14.42578125" style="15" bestFit="1" customWidth="1"/>
    <col min="1310" max="1310" width="13.42578125" style="15" bestFit="1" customWidth="1"/>
    <col min="1311" max="1536" width="9.140625" style="15"/>
    <col min="1537" max="1537" width="29.85546875" style="15" bestFit="1" customWidth="1"/>
    <col min="1538" max="1538" width="11.85546875" style="15" bestFit="1" customWidth="1"/>
    <col min="1539" max="1539" width="11.85546875" style="15" customWidth="1"/>
    <col min="1540" max="1540" width="4.5703125" style="15" bestFit="1" customWidth="1"/>
    <col min="1541" max="1542" width="5.140625" style="15" bestFit="1" customWidth="1"/>
    <col min="1543" max="1543" width="4.5703125" style="15" bestFit="1" customWidth="1"/>
    <col min="1544" max="1544" width="5.140625" style="15" bestFit="1" customWidth="1"/>
    <col min="1545" max="1545" width="4" style="15" bestFit="1" customWidth="1"/>
    <col min="1546" max="1549" width="4.5703125" style="15" bestFit="1" customWidth="1"/>
    <col min="1550" max="1550" width="14.42578125" style="15" bestFit="1" customWidth="1"/>
    <col min="1551" max="1551" width="13.42578125" style="15" bestFit="1" customWidth="1"/>
    <col min="1552" max="1552" width="9.140625" style="15"/>
    <col min="1553" max="1553" width="49" style="15" bestFit="1" customWidth="1"/>
    <col min="1554" max="1554" width="11.85546875" style="15" bestFit="1" customWidth="1"/>
    <col min="1555" max="1559" width="4.5703125" style="15" bestFit="1" customWidth="1"/>
    <col min="1560" max="1560" width="4" style="15" bestFit="1" customWidth="1"/>
    <col min="1561" max="1564" width="4.5703125" style="15" bestFit="1" customWidth="1"/>
    <col min="1565" max="1565" width="14.42578125" style="15" bestFit="1" customWidth="1"/>
    <col min="1566" max="1566" width="13.42578125" style="15" bestFit="1" customWidth="1"/>
    <col min="1567" max="1792" width="9.140625" style="15"/>
    <col min="1793" max="1793" width="29.85546875" style="15" bestFit="1" customWidth="1"/>
    <col min="1794" max="1794" width="11.85546875" style="15" bestFit="1" customWidth="1"/>
    <col min="1795" max="1795" width="11.85546875" style="15" customWidth="1"/>
    <col min="1796" max="1796" width="4.5703125" style="15" bestFit="1" customWidth="1"/>
    <col min="1797" max="1798" width="5.140625" style="15" bestFit="1" customWidth="1"/>
    <col min="1799" max="1799" width="4.5703125" style="15" bestFit="1" customWidth="1"/>
    <col min="1800" max="1800" width="5.140625" style="15" bestFit="1" customWidth="1"/>
    <col min="1801" max="1801" width="4" style="15" bestFit="1" customWidth="1"/>
    <col min="1802" max="1805" width="4.5703125" style="15" bestFit="1" customWidth="1"/>
    <col min="1806" max="1806" width="14.42578125" style="15" bestFit="1" customWidth="1"/>
    <col min="1807" max="1807" width="13.42578125" style="15" bestFit="1" customWidth="1"/>
    <col min="1808" max="1808" width="9.140625" style="15"/>
    <col min="1809" max="1809" width="49" style="15" bestFit="1" customWidth="1"/>
    <col min="1810" max="1810" width="11.85546875" style="15" bestFit="1" customWidth="1"/>
    <col min="1811" max="1815" width="4.5703125" style="15" bestFit="1" customWidth="1"/>
    <col min="1816" max="1816" width="4" style="15" bestFit="1" customWidth="1"/>
    <col min="1817" max="1820" width="4.5703125" style="15" bestFit="1" customWidth="1"/>
    <col min="1821" max="1821" width="14.42578125" style="15" bestFit="1" customWidth="1"/>
    <col min="1822" max="1822" width="13.42578125" style="15" bestFit="1" customWidth="1"/>
    <col min="1823" max="2048" width="9.140625" style="15"/>
    <col min="2049" max="2049" width="29.85546875" style="15" bestFit="1" customWidth="1"/>
    <col min="2050" max="2050" width="11.85546875" style="15" bestFit="1" customWidth="1"/>
    <col min="2051" max="2051" width="11.85546875" style="15" customWidth="1"/>
    <col min="2052" max="2052" width="4.5703125" style="15" bestFit="1" customWidth="1"/>
    <col min="2053" max="2054" width="5.140625" style="15" bestFit="1" customWidth="1"/>
    <col min="2055" max="2055" width="4.5703125" style="15" bestFit="1" customWidth="1"/>
    <col min="2056" max="2056" width="5.140625" style="15" bestFit="1" customWidth="1"/>
    <col min="2057" max="2057" width="4" style="15" bestFit="1" customWidth="1"/>
    <col min="2058" max="2061" width="4.5703125" style="15" bestFit="1" customWidth="1"/>
    <col min="2062" max="2062" width="14.42578125" style="15" bestFit="1" customWidth="1"/>
    <col min="2063" max="2063" width="13.42578125" style="15" bestFit="1" customWidth="1"/>
    <col min="2064" max="2064" width="9.140625" style="15"/>
    <col min="2065" max="2065" width="49" style="15" bestFit="1" customWidth="1"/>
    <col min="2066" max="2066" width="11.85546875" style="15" bestFit="1" customWidth="1"/>
    <col min="2067" max="2071" width="4.5703125" style="15" bestFit="1" customWidth="1"/>
    <col min="2072" max="2072" width="4" style="15" bestFit="1" customWidth="1"/>
    <col min="2073" max="2076" width="4.5703125" style="15" bestFit="1" customWidth="1"/>
    <col min="2077" max="2077" width="14.42578125" style="15" bestFit="1" customWidth="1"/>
    <col min="2078" max="2078" width="13.42578125" style="15" bestFit="1" customWidth="1"/>
    <col min="2079" max="2304" width="9.140625" style="15"/>
    <col min="2305" max="2305" width="29.85546875" style="15" bestFit="1" customWidth="1"/>
    <col min="2306" max="2306" width="11.85546875" style="15" bestFit="1" customWidth="1"/>
    <col min="2307" max="2307" width="11.85546875" style="15" customWidth="1"/>
    <col min="2308" max="2308" width="4.5703125" style="15" bestFit="1" customWidth="1"/>
    <col min="2309" max="2310" width="5.140625" style="15" bestFit="1" customWidth="1"/>
    <col min="2311" max="2311" width="4.5703125" style="15" bestFit="1" customWidth="1"/>
    <col min="2312" max="2312" width="5.140625" style="15" bestFit="1" customWidth="1"/>
    <col min="2313" max="2313" width="4" style="15" bestFit="1" customWidth="1"/>
    <col min="2314" max="2317" width="4.5703125" style="15" bestFit="1" customWidth="1"/>
    <col min="2318" max="2318" width="14.42578125" style="15" bestFit="1" customWidth="1"/>
    <col min="2319" max="2319" width="13.42578125" style="15" bestFit="1" customWidth="1"/>
    <col min="2320" max="2320" width="9.140625" style="15"/>
    <col min="2321" max="2321" width="49" style="15" bestFit="1" customWidth="1"/>
    <col min="2322" max="2322" width="11.85546875" style="15" bestFit="1" customWidth="1"/>
    <col min="2323" max="2327" width="4.5703125" style="15" bestFit="1" customWidth="1"/>
    <col min="2328" max="2328" width="4" style="15" bestFit="1" customWidth="1"/>
    <col min="2329" max="2332" width="4.5703125" style="15" bestFit="1" customWidth="1"/>
    <col min="2333" max="2333" width="14.42578125" style="15" bestFit="1" customWidth="1"/>
    <col min="2334" max="2334" width="13.42578125" style="15" bestFit="1" customWidth="1"/>
    <col min="2335" max="2560" width="9.140625" style="15"/>
    <col min="2561" max="2561" width="29.85546875" style="15" bestFit="1" customWidth="1"/>
    <col min="2562" max="2562" width="11.85546875" style="15" bestFit="1" customWidth="1"/>
    <col min="2563" max="2563" width="11.85546875" style="15" customWidth="1"/>
    <col min="2564" max="2564" width="4.5703125" style="15" bestFit="1" customWidth="1"/>
    <col min="2565" max="2566" width="5.140625" style="15" bestFit="1" customWidth="1"/>
    <col min="2567" max="2567" width="4.5703125" style="15" bestFit="1" customWidth="1"/>
    <col min="2568" max="2568" width="5.140625" style="15" bestFit="1" customWidth="1"/>
    <col min="2569" max="2569" width="4" style="15" bestFit="1" customWidth="1"/>
    <col min="2570" max="2573" width="4.5703125" style="15" bestFit="1" customWidth="1"/>
    <col min="2574" max="2574" width="14.42578125" style="15" bestFit="1" customWidth="1"/>
    <col min="2575" max="2575" width="13.42578125" style="15" bestFit="1" customWidth="1"/>
    <col min="2576" max="2576" width="9.140625" style="15"/>
    <col min="2577" max="2577" width="49" style="15" bestFit="1" customWidth="1"/>
    <col min="2578" max="2578" width="11.85546875" style="15" bestFit="1" customWidth="1"/>
    <col min="2579" max="2583" width="4.5703125" style="15" bestFit="1" customWidth="1"/>
    <col min="2584" max="2584" width="4" style="15" bestFit="1" customWidth="1"/>
    <col min="2585" max="2588" width="4.5703125" style="15" bestFit="1" customWidth="1"/>
    <col min="2589" max="2589" width="14.42578125" style="15" bestFit="1" customWidth="1"/>
    <col min="2590" max="2590" width="13.42578125" style="15" bestFit="1" customWidth="1"/>
    <col min="2591" max="2816" width="9.140625" style="15"/>
    <col min="2817" max="2817" width="29.85546875" style="15" bestFit="1" customWidth="1"/>
    <col min="2818" max="2818" width="11.85546875" style="15" bestFit="1" customWidth="1"/>
    <col min="2819" max="2819" width="11.85546875" style="15" customWidth="1"/>
    <col min="2820" max="2820" width="4.5703125" style="15" bestFit="1" customWidth="1"/>
    <col min="2821" max="2822" width="5.140625" style="15" bestFit="1" customWidth="1"/>
    <col min="2823" max="2823" width="4.5703125" style="15" bestFit="1" customWidth="1"/>
    <col min="2824" max="2824" width="5.140625" style="15" bestFit="1" customWidth="1"/>
    <col min="2825" max="2825" width="4" style="15" bestFit="1" customWidth="1"/>
    <col min="2826" max="2829" width="4.5703125" style="15" bestFit="1" customWidth="1"/>
    <col min="2830" max="2830" width="14.42578125" style="15" bestFit="1" customWidth="1"/>
    <col min="2831" max="2831" width="13.42578125" style="15" bestFit="1" customWidth="1"/>
    <col min="2832" max="2832" width="9.140625" style="15"/>
    <col min="2833" max="2833" width="49" style="15" bestFit="1" customWidth="1"/>
    <col min="2834" max="2834" width="11.85546875" style="15" bestFit="1" customWidth="1"/>
    <col min="2835" max="2839" width="4.5703125" style="15" bestFit="1" customWidth="1"/>
    <col min="2840" max="2840" width="4" style="15" bestFit="1" customWidth="1"/>
    <col min="2841" max="2844" width="4.5703125" style="15" bestFit="1" customWidth="1"/>
    <col min="2845" max="2845" width="14.42578125" style="15" bestFit="1" customWidth="1"/>
    <col min="2846" max="2846" width="13.42578125" style="15" bestFit="1" customWidth="1"/>
    <col min="2847" max="3072" width="9.140625" style="15"/>
    <col min="3073" max="3073" width="29.85546875" style="15" bestFit="1" customWidth="1"/>
    <col min="3074" max="3074" width="11.85546875" style="15" bestFit="1" customWidth="1"/>
    <col min="3075" max="3075" width="11.85546875" style="15" customWidth="1"/>
    <col min="3076" max="3076" width="4.5703125" style="15" bestFit="1" customWidth="1"/>
    <col min="3077" max="3078" width="5.140625" style="15" bestFit="1" customWidth="1"/>
    <col min="3079" max="3079" width="4.5703125" style="15" bestFit="1" customWidth="1"/>
    <col min="3080" max="3080" width="5.140625" style="15" bestFit="1" customWidth="1"/>
    <col min="3081" max="3081" width="4" style="15" bestFit="1" customWidth="1"/>
    <col min="3082" max="3085" width="4.5703125" style="15" bestFit="1" customWidth="1"/>
    <col min="3086" max="3086" width="14.42578125" style="15" bestFit="1" customWidth="1"/>
    <col min="3087" max="3087" width="13.42578125" style="15" bestFit="1" customWidth="1"/>
    <col min="3088" max="3088" width="9.140625" style="15"/>
    <col min="3089" max="3089" width="49" style="15" bestFit="1" customWidth="1"/>
    <col min="3090" max="3090" width="11.85546875" style="15" bestFit="1" customWidth="1"/>
    <col min="3091" max="3095" width="4.5703125" style="15" bestFit="1" customWidth="1"/>
    <col min="3096" max="3096" width="4" style="15" bestFit="1" customWidth="1"/>
    <col min="3097" max="3100" width="4.5703125" style="15" bestFit="1" customWidth="1"/>
    <col min="3101" max="3101" width="14.42578125" style="15" bestFit="1" customWidth="1"/>
    <col min="3102" max="3102" width="13.42578125" style="15" bestFit="1" customWidth="1"/>
    <col min="3103" max="3328" width="9.140625" style="15"/>
    <col min="3329" max="3329" width="29.85546875" style="15" bestFit="1" customWidth="1"/>
    <col min="3330" max="3330" width="11.85546875" style="15" bestFit="1" customWidth="1"/>
    <col min="3331" max="3331" width="11.85546875" style="15" customWidth="1"/>
    <col min="3332" max="3332" width="4.5703125" style="15" bestFit="1" customWidth="1"/>
    <col min="3333" max="3334" width="5.140625" style="15" bestFit="1" customWidth="1"/>
    <col min="3335" max="3335" width="4.5703125" style="15" bestFit="1" customWidth="1"/>
    <col min="3336" max="3336" width="5.140625" style="15" bestFit="1" customWidth="1"/>
    <col min="3337" max="3337" width="4" style="15" bestFit="1" customWidth="1"/>
    <col min="3338" max="3341" width="4.5703125" style="15" bestFit="1" customWidth="1"/>
    <col min="3342" max="3342" width="14.42578125" style="15" bestFit="1" customWidth="1"/>
    <col min="3343" max="3343" width="13.42578125" style="15" bestFit="1" customWidth="1"/>
    <col min="3344" max="3344" width="9.140625" style="15"/>
    <col min="3345" max="3345" width="49" style="15" bestFit="1" customWidth="1"/>
    <col min="3346" max="3346" width="11.85546875" style="15" bestFit="1" customWidth="1"/>
    <col min="3347" max="3351" width="4.5703125" style="15" bestFit="1" customWidth="1"/>
    <col min="3352" max="3352" width="4" style="15" bestFit="1" customWidth="1"/>
    <col min="3353" max="3356" width="4.5703125" style="15" bestFit="1" customWidth="1"/>
    <col min="3357" max="3357" width="14.42578125" style="15" bestFit="1" customWidth="1"/>
    <col min="3358" max="3358" width="13.42578125" style="15" bestFit="1" customWidth="1"/>
    <col min="3359" max="3584" width="9.140625" style="15"/>
    <col min="3585" max="3585" width="29.85546875" style="15" bestFit="1" customWidth="1"/>
    <col min="3586" max="3586" width="11.85546875" style="15" bestFit="1" customWidth="1"/>
    <col min="3587" max="3587" width="11.85546875" style="15" customWidth="1"/>
    <col min="3588" max="3588" width="4.5703125" style="15" bestFit="1" customWidth="1"/>
    <col min="3589" max="3590" width="5.140625" style="15" bestFit="1" customWidth="1"/>
    <col min="3591" max="3591" width="4.5703125" style="15" bestFit="1" customWidth="1"/>
    <col min="3592" max="3592" width="5.140625" style="15" bestFit="1" customWidth="1"/>
    <col min="3593" max="3593" width="4" style="15" bestFit="1" customWidth="1"/>
    <col min="3594" max="3597" width="4.5703125" style="15" bestFit="1" customWidth="1"/>
    <col min="3598" max="3598" width="14.42578125" style="15" bestFit="1" customWidth="1"/>
    <col min="3599" max="3599" width="13.42578125" style="15" bestFit="1" customWidth="1"/>
    <col min="3600" max="3600" width="9.140625" style="15"/>
    <col min="3601" max="3601" width="49" style="15" bestFit="1" customWidth="1"/>
    <col min="3602" max="3602" width="11.85546875" style="15" bestFit="1" customWidth="1"/>
    <col min="3603" max="3607" width="4.5703125" style="15" bestFit="1" customWidth="1"/>
    <col min="3608" max="3608" width="4" style="15" bestFit="1" customWidth="1"/>
    <col min="3609" max="3612" width="4.5703125" style="15" bestFit="1" customWidth="1"/>
    <col min="3613" max="3613" width="14.42578125" style="15" bestFit="1" customWidth="1"/>
    <col min="3614" max="3614" width="13.42578125" style="15" bestFit="1" customWidth="1"/>
    <col min="3615" max="3840" width="9.140625" style="15"/>
    <col min="3841" max="3841" width="29.85546875" style="15" bestFit="1" customWidth="1"/>
    <col min="3842" max="3842" width="11.85546875" style="15" bestFit="1" customWidth="1"/>
    <col min="3843" max="3843" width="11.85546875" style="15" customWidth="1"/>
    <col min="3844" max="3844" width="4.5703125" style="15" bestFit="1" customWidth="1"/>
    <col min="3845" max="3846" width="5.140625" style="15" bestFit="1" customWidth="1"/>
    <col min="3847" max="3847" width="4.5703125" style="15" bestFit="1" customWidth="1"/>
    <col min="3848" max="3848" width="5.140625" style="15" bestFit="1" customWidth="1"/>
    <col min="3849" max="3849" width="4" style="15" bestFit="1" customWidth="1"/>
    <col min="3850" max="3853" width="4.5703125" style="15" bestFit="1" customWidth="1"/>
    <col min="3854" max="3854" width="14.42578125" style="15" bestFit="1" customWidth="1"/>
    <col min="3855" max="3855" width="13.42578125" style="15" bestFit="1" customWidth="1"/>
    <col min="3856" max="3856" width="9.140625" style="15"/>
    <col min="3857" max="3857" width="49" style="15" bestFit="1" customWidth="1"/>
    <col min="3858" max="3858" width="11.85546875" style="15" bestFit="1" customWidth="1"/>
    <col min="3859" max="3863" width="4.5703125" style="15" bestFit="1" customWidth="1"/>
    <col min="3864" max="3864" width="4" style="15" bestFit="1" customWidth="1"/>
    <col min="3865" max="3868" width="4.5703125" style="15" bestFit="1" customWidth="1"/>
    <col min="3869" max="3869" width="14.42578125" style="15" bestFit="1" customWidth="1"/>
    <col min="3870" max="3870" width="13.42578125" style="15" bestFit="1" customWidth="1"/>
    <col min="3871" max="4096" width="9.140625" style="15"/>
    <col min="4097" max="4097" width="29.85546875" style="15" bestFit="1" customWidth="1"/>
    <col min="4098" max="4098" width="11.85546875" style="15" bestFit="1" customWidth="1"/>
    <col min="4099" max="4099" width="11.85546875" style="15" customWidth="1"/>
    <col min="4100" max="4100" width="4.5703125" style="15" bestFit="1" customWidth="1"/>
    <col min="4101" max="4102" width="5.140625" style="15" bestFit="1" customWidth="1"/>
    <col min="4103" max="4103" width="4.5703125" style="15" bestFit="1" customWidth="1"/>
    <col min="4104" max="4104" width="5.140625" style="15" bestFit="1" customWidth="1"/>
    <col min="4105" max="4105" width="4" style="15" bestFit="1" customWidth="1"/>
    <col min="4106" max="4109" width="4.5703125" style="15" bestFit="1" customWidth="1"/>
    <col min="4110" max="4110" width="14.42578125" style="15" bestFit="1" customWidth="1"/>
    <col min="4111" max="4111" width="13.42578125" style="15" bestFit="1" customWidth="1"/>
    <col min="4112" max="4112" width="9.140625" style="15"/>
    <col min="4113" max="4113" width="49" style="15" bestFit="1" customWidth="1"/>
    <col min="4114" max="4114" width="11.85546875" style="15" bestFit="1" customWidth="1"/>
    <col min="4115" max="4119" width="4.5703125" style="15" bestFit="1" customWidth="1"/>
    <col min="4120" max="4120" width="4" style="15" bestFit="1" customWidth="1"/>
    <col min="4121" max="4124" width="4.5703125" style="15" bestFit="1" customWidth="1"/>
    <col min="4125" max="4125" width="14.42578125" style="15" bestFit="1" customWidth="1"/>
    <col min="4126" max="4126" width="13.42578125" style="15" bestFit="1" customWidth="1"/>
    <col min="4127" max="4352" width="9.140625" style="15"/>
    <col min="4353" max="4353" width="29.85546875" style="15" bestFit="1" customWidth="1"/>
    <col min="4354" max="4354" width="11.85546875" style="15" bestFit="1" customWidth="1"/>
    <col min="4355" max="4355" width="11.85546875" style="15" customWidth="1"/>
    <col min="4356" max="4356" width="4.5703125" style="15" bestFit="1" customWidth="1"/>
    <col min="4357" max="4358" width="5.140625" style="15" bestFit="1" customWidth="1"/>
    <col min="4359" max="4359" width="4.5703125" style="15" bestFit="1" customWidth="1"/>
    <col min="4360" max="4360" width="5.140625" style="15" bestFit="1" customWidth="1"/>
    <col min="4361" max="4361" width="4" style="15" bestFit="1" customWidth="1"/>
    <col min="4362" max="4365" width="4.5703125" style="15" bestFit="1" customWidth="1"/>
    <col min="4366" max="4366" width="14.42578125" style="15" bestFit="1" customWidth="1"/>
    <col min="4367" max="4367" width="13.42578125" style="15" bestFit="1" customWidth="1"/>
    <col min="4368" max="4368" width="9.140625" style="15"/>
    <col min="4369" max="4369" width="49" style="15" bestFit="1" customWidth="1"/>
    <col min="4370" max="4370" width="11.85546875" style="15" bestFit="1" customWidth="1"/>
    <col min="4371" max="4375" width="4.5703125" style="15" bestFit="1" customWidth="1"/>
    <col min="4376" max="4376" width="4" style="15" bestFit="1" customWidth="1"/>
    <col min="4377" max="4380" width="4.5703125" style="15" bestFit="1" customWidth="1"/>
    <col min="4381" max="4381" width="14.42578125" style="15" bestFit="1" customWidth="1"/>
    <col min="4382" max="4382" width="13.42578125" style="15" bestFit="1" customWidth="1"/>
    <col min="4383" max="4608" width="9.140625" style="15"/>
    <col min="4609" max="4609" width="29.85546875" style="15" bestFit="1" customWidth="1"/>
    <col min="4610" max="4610" width="11.85546875" style="15" bestFit="1" customWidth="1"/>
    <col min="4611" max="4611" width="11.85546875" style="15" customWidth="1"/>
    <col min="4612" max="4612" width="4.5703125" style="15" bestFit="1" customWidth="1"/>
    <col min="4613" max="4614" width="5.140625" style="15" bestFit="1" customWidth="1"/>
    <col min="4615" max="4615" width="4.5703125" style="15" bestFit="1" customWidth="1"/>
    <col min="4616" max="4616" width="5.140625" style="15" bestFit="1" customWidth="1"/>
    <col min="4617" max="4617" width="4" style="15" bestFit="1" customWidth="1"/>
    <col min="4618" max="4621" width="4.5703125" style="15" bestFit="1" customWidth="1"/>
    <col min="4622" max="4622" width="14.42578125" style="15" bestFit="1" customWidth="1"/>
    <col min="4623" max="4623" width="13.42578125" style="15" bestFit="1" customWidth="1"/>
    <col min="4624" max="4624" width="9.140625" style="15"/>
    <col min="4625" max="4625" width="49" style="15" bestFit="1" customWidth="1"/>
    <col min="4626" max="4626" width="11.85546875" style="15" bestFit="1" customWidth="1"/>
    <col min="4627" max="4631" width="4.5703125" style="15" bestFit="1" customWidth="1"/>
    <col min="4632" max="4632" width="4" style="15" bestFit="1" customWidth="1"/>
    <col min="4633" max="4636" width="4.5703125" style="15" bestFit="1" customWidth="1"/>
    <col min="4637" max="4637" width="14.42578125" style="15" bestFit="1" customWidth="1"/>
    <col min="4638" max="4638" width="13.42578125" style="15" bestFit="1" customWidth="1"/>
    <col min="4639" max="4864" width="9.140625" style="15"/>
    <col min="4865" max="4865" width="29.85546875" style="15" bestFit="1" customWidth="1"/>
    <col min="4866" max="4866" width="11.85546875" style="15" bestFit="1" customWidth="1"/>
    <col min="4867" max="4867" width="11.85546875" style="15" customWidth="1"/>
    <col min="4868" max="4868" width="4.5703125" style="15" bestFit="1" customWidth="1"/>
    <col min="4869" max="4870" width="5.140625" style="15" bestFit="1" customWidth="1"/>
    <col min="4871" max="4871" width="4.5703125" style="15" bestFit="1" customWidth="1"/>
    <col min="4872" max="4872" width="5.140625" style="15" bestFit="1" customWidth="1"/>
    <col min="4873" max="4873" width="4" style="15" bestFit="1" customWidth="1"/>
    <col min="4874" max="4877" width="4.5703125" style="15" bestFit="1" customWidth="1"/>
    <col min="4878" max="4878" width="14.42578125" style="15" bestFit="1" customWidth="1"/>
    <col min="4879" max="4879" width="13.42578125" style="15" bestFit="1" customWidth="1"/>
    <col min="4880" max="4880" width="9.140625" style="15"/>
    <col min="4881" max="4881" width="49" style="15" bestFit="1" customWidth="1"/>
    <col min="4882" max="4882" width="11.85546875" style="15" bestFit="1" customWidth="1"/>
    <col min="4883" max="4887" width="4.5703125" style="15" bestFit="1" customWidth="1"/>
    <col min="4888" max="4888" width="4" style="15" bestFit="1" customWidth="1"/>
    <col min="4889" max="4892" width="4.5703125" style="15" bestFit="1" customWidth="1"/>
    <col min="4893" max="4893" width="14.42578125" style="15" bestFit="1" customWidth="1"/>
    <col min="4894" max="4894" width="13.42578125" style="15" bestFit="1" customWidth="1"/>
    <col min="4895" max="5120" width="9.140625" style="15"/>
    <col min="5121" max="5121" width="29.85546875" style="15" bestFit="1" customWidth="1"/>
    <col min="5122" max="5122" width="11.85546875" style="15" bestFit="1" customWidth="1"/>
    <col min="5123" max="5123" width="11.85546875" style="15" customWidth="1"/>
    <col min="5124" max="5124" width="4.5703125" style="15" bestFit="1" customWidth="1"/>
    <col min="5125" max="5126" width="5.140625" style="15" bestFit="1" customWidth="1"/>
    <col min="5127" max="5127" width="4.5703125" style="15" bestFit="1" customWidth="1"/>
    <col min="5128" max="5128" width="5.140625" style="15" bestFit="1" customWidth="1"/>
    <col min="5129" max="5129" width="4" style="15" bestFit="1" customWidth="1"/>
    <col min="5130" max="5133" width="4.5703125" style="15" bestFit="1" customWidth="1"/>
    <col min="5134" max="5134" width="14.42578125" style="15" bestFit="1" customWidth="1"/>
    <col min="5135" max="5135" width="13.42578125" style="15" bestFit="1" customWidth="1"/>
    <col min="5136" max="5136" width="9.140625" style="15"/>
    <col min="5137" max="5137" width="49" style="15" bestFit="1" customWidth="1"/>
    <col min="5138" max="5138" width="11.85546875" style="15" bestFit="1" customWidth="1"/>
    <col min="5139" max="5143" width="4.5703125" style="15" bestFit="1" customWidth="1"/>
    <col min="5144" max="5144" width="4" style="15" bestFit="1" customWidth="1"/>
    <col min="5145" max="5148" width="4.5703125" style="15" bestFit="1" customWidth="1"/>
    <col min="5149" max="5149" width="14.42578125" style="15" bestFit="1" customWidth="1"/>
    <col min="5150" max="5150" width="13.42578125" style="15" bestFit="1" customWidth="1"/>
    <col min="5151" max="5376" width="9.140625" style="15"/>
    <col min="5377" max="5377" width="29.85546875" style="15" bestFit="1" customWidth="1"/>
    <col min="5378" max="5378" width="11.85546875" style="15" bestFit="1" customWidth="1"/>
    <col min="5379" max="5379" width="11.85546875" style="15" customWidth="1"/>
    <col min="5380" max="5380" width="4.5703125" style="15" bestFit="1" customWidth="1"/>
    <col min="5381" max="5382" width="5.140625" style="15" bestFit="1" customWidth="1"/>
    <col min="5383" max="5383" width="4.5703125" style="15" bestFit="1" customWidth="1"/>
    <col min="5384" max="5384" width="5.140625" style="15" bestFit="1" customWidth="1"/>
    <col min="5385" max="5385" width="4" style="15" bestFit="1" customWidth="1"/>
    <col min="5386" max="5389" width="4.5703125" style="15" bestFit="1" customWidth="1"/>
    <col min="5390" max="5390" width="14.42578125" style="15" bestFit="1" customWidth="1"/>
    <col min="5391" max="5391" width="13.42578125" style="15" bestFit="1" customWidth="1"/>
    <col min="5392" max="5392" width="9.140625" style="15"/>
    <col min="5393" max="5393" width="49" style="15" bestFit="1" customWidth="1"/>
    <col min="5394" max="5394" width="11.85546875" style="15" bestFit="1" customWidth="1"/>
    <col min="5395" max="5399" width="4.5703125" style="15" bestFit="1" customWidth="1"/>
    <col min="5400" max="5400" width="4" style="15" bestFit="1" customWidth="1"/>
    <col min="5401" max="5404" width="4.5703125" style="15" bestFit="1" customWidth="1"/>
    <col min="5405" max="5405" width="14.42578125" style="15" bestFit="1" customWidth="1"/>
    <col min="5406" max="5406" width="13.42578125" style="15" bestFit="1" customWidth="1"/>
    <col min="5407" max="5632" width="9.140625" style="15"/>
    <col min="5633" max="5633" width="29.85546875" style="15" bestFit="1" customWidth="1"/>
    <col min="5634" max="5634" width="11.85546875" style="15" bestFit="1" customWidth="1"/>
    <col min="5635" max="5635" width="11.85546875" style="15" customWidth="1"/>
    <col min="5636" max="5636" width="4.5703125" style="15" bestFit="1" customWidth="1"/>
    <col min="5637" max="5638" width="5.140625" style="15" bestFit="1" customWidth="1"/>
    <col min="5639" max="5639" width="4.5703125" style="15" bestFit="1" customWidth="1"/>
    <col min="5640" max="5640" width="5.140625" style="15" bestFit="1" customWidth="1"/>
    <col min="5641" max="5641" width="4" style="15" bestFit="1" customWidth="1"/>
    <col min="5642" max="5645" width="4.5703125" style="15" bestFit="1" customWidth="1"/>
    <col min="5646" max="5646" width="14.42578125" style="15" bestFit="1" customWidth="1"/>
    <col min="5647" max="5647" width="13.42578125" style="15" bestFit="1" customWidth="1"/>
    <col min="5648" max="5648" width="9.140625" style="15"/>
    <col min="5649" max="5649" width="49" style="15" bestFit="1" customWidth="1"/>
    <col min="5650" max="5650" width="11.85546875" style="15" bestFit="1" customWidth="1"/>
    <col min="5651" max="5655" width="4.5703125" style="15" bestFit="1" customWidth="1"/>
    <col min="5656" max="5656" width="4" style="15" bestFit="1" customWidth="1"/>
    <col min="5657" max="5660" width="4.5703125" style="15" bestFit="1" customWidth="1"/>
    <col min="5661" max="5661" width="14.42578125" style="15" bestFit="1" customWidth="1"/>
    <col min="5662" max="5662" width="13.42578125" style="15" bestFit="1" customWidth="1"/>
    <col min="5663" max="5888" width="9.140625" style="15"/>
    <col min="5889" max="5889" width="29.85546875" style="15" bestFit="1" customWidth="1"/>
    <col min="5890" max="5890" width="11.85546875" style="15" bestFit="1" customWidth="1"/>
    <col min="5891" max="5891" width="11.85546875" style="15" customWidth="1"/>
    <col min="5892" max="5892" width="4.5703125" style="15" bestFit="1" customWidth="1"/>
    <col min="5893" max="5894" width="5.140625" style="15" bestFit="1" customWidth="1"/>
    <col min="5895" max="5895" width="4.5703125" style="15" bestFit="1" customWidth="1"/>
    <col min="5896" max="5896" width="5.140625" style="15" bestFit="1" customWidth="1"/>
    <col min="5897" max="5897" width="4" style="15" bestFit="1" customWidth="1"/>
    <col min="5898" max="5901" width="4.5703125" style="15" bestFit="1" customWidth="1"/>
    <col min="5902" max="5902" width="14.42578125" style="15" bestFit="1" customWidth="1"/>
    <col min="5903" max="5903" width="13.42578125" style="15" bestFit="1" customWidth="1"/>
    <col min="5904" max="5904" width="9.140625" style="15"/>
    <col min="5905" max="5905" width="49" style="15" bestFit="1" customWidth="1"/>
    <col min="5906" max="5906" width="11.85546875" style="15" bestFit="1" customWidth="1"/>
    <col min="5907" max="5911" width="4.5703125" style="15" bestFit="1" customWidth="1"/>
    <col min="5912" max="5912" width="4" style="15" bestFit="1" customWidth="1"/>
    <col min="5913" max="5916" width="4.5703125" style="15" bestFit="1" customWidth="1"/>
    <col min="5917" max="5917" width="14.42578125" style="15" bestFit="1" customWidth="1"/>
    <col min="5918" max="5918" width="13.42578125" style="15" bestFit="1" customWidth="1"/>
    <col min="5919" max="6144" width="9.140625" style="15"/>
    <col min="6145" max="6145" width="29.85546875" style="15" bestFit="1" customWidth="1"/>
    <col min="6146" max="6146" width="11.85546875" style="15" bestFit="1" customWidth="1"/>
    <col min="6147" max="6147" width="11.85546875" style="15" customWidth="1"/>
    <col min="6148" max="6148" width="4.5703125" style="15" bestFit="1" customWidth="1"/>
    <col min="6149" max="6150" width="5.140625" style="15" bestFit="1" customWidth="1"/>
    <col min="6151" max="6151" width="4.5703125" style="15" bestFit="1" customWidth="1"/>
    <col min="6152" max="6152" width="5.140625" style="15" bestFit="1" customWidth="1"/>
    <col min="6153" max="6153" width="4" style="15" bestFit="1" customWidth="1"/>
    <col min="6154" max="6157" width="4.5703125" style="15" bestFit="1" customWidth="1"/>
    <col min="6158" max="6158" width="14.42578125" style="15" bestFit="1" customWidth="1"/>
    <col min="6159" max="6159" width="13.42578125" style="15" bestFit="1" customWidth="1"/>
    <col min="6160" max="6160" width="9.140625" style="15"/>
    <col min="6161" max="6161" width="49" style="15" bestFit="1" customWidth="1"/>
    <col min="6162" max="6162" width="11.85546875" style="15" bestFit="1" customWidth="1"/>
    <col min="6163" max="6167" width="4.5703125" style="15" bestFit="1" customWidth="1"/>
    <col min="6168" max="6168" width="4" style="15" bestFit="1" customWidth="1"/>
    <col min="6169" max="6172" width="4.5703125" style="15" bestFit="1" customWidth="1"/>
    <col min="6173" max="6173" width="14.42578125" style="15" bestFit="1" customWidth="1"/>
    <col min="6174" max="6174" width="13.42578125" style="15" bestFit="1" customWidth="1"/>
    <col min="6175" max="6400" width="9.140625" style="15"/>
    <col min="6401" max="6401" width="29.85546875" style="15" bestFit="1" customWidth="1"/>
    <col min="6402" max="6402" width="11.85546875" style="15" bestFit="1" customWidth="1"/>
    <col min="6403" max="6403" width="11.85546875" style="15" customWidth="1"/>
    <col min="6404" max="6404" width="4.5703125" style="15" bestFit="1" customWidth="1"/>
    <col min="6405" max="6406" width="5.140625" style="15" bestFit="1" customWidth="1"/>
    <col min="6407" max="6407" width="4.5703125" style="15" bestFit="1" customWidth="1"/>
    <col min="6408" max="6408" width="5.140625" style="15" bestFit="1" customWidth="1"/>
    <col min="6409" max="6409" width="4" style="15" bestFit="1" customWidth="1"/>
    <col min="6410" max="6413" width="4.5703125" style="15" bestFit="1" customWidth="1"/>
    <col min="6414" max="6414" width="14.42578125" style="15" bestFit="1" customWidth="1"/>
    <col min="6415" max="6415" width="13.42578125" style="15" bestFit="1" customWidth="1"/>
    <col min="6416" max="6416" width="9.140625" style="15"/>
    <col min="6417" max="6417" width="49" style="15" bestFit="1" customWidth="1"/>
    <col min="6418" max="6418" width="11.85546875" style="15" bestFit="1" customWidth="1"/>
    <col min="6419" max="6423" width="4.5703125" style="15" bestFit="1" customWidth="1"/>
    <col min="6424" max="6424" width="4" style="15" bestFit="1" customWidth="1"/>
    <col min="6425" max="6428" width="4.5703125" style="15" bestFit="1" customWidth="1"/>
    <col min="6429" max="6429" width="14.42578125" style="15" bestFit="1" customWidth="1"/>
    <col min="6430" max="6430" width="13.42578125" style="15" bestFit="1" customWidth="1"/>
    <col min="6431" max="6656" width="9.140625" style="15"/>
    <col min="6657" max="6657" width="29.85546875" style="15" bestFit="1" customWidth="1"/>
    <col min="6658" max="6658" width="11.85546875" style="15" bestFit="1" customWidth="1"/>
    <col min="6659" max="6659" width="11.85546875" style="15" customWidth="1"/>
    <col min="6660" max="6660" width="4.5703125" style="15" bestFit="1" customWidth="1"/>
    <col min="6661" max="6662" width="5.140625" style="15" bestFit="1" customWidth="1"/>
    <col min="6663" max="6663" width="4.5703125" style="15" bestFit="1" customWidth="1"/>
    <col min="6664" max="6664" width="5.140625" style="15" bestFit="1" customWidth="1"/>
    <col min="6665" max="6665" width="4" style="15" bestFit="1" customWidth="1"/>
    <col min="6666" max="6669" width="4.5703125" style="15" bestFit="1" customWidth="1"/>
    <col min="6670" max="6670" width="14.42578125" style="15" bestFit="1" customWidth="1"/>
    <col min="6671" max="6671" width="13.42578125" style="15" bestFit="1" customWidth="1"/>
    <col min="6672" max="6672" width="9.140625" style="15"/>
    <col min="6673" max="6673" width="49" style="15" bestFit="1" customWidth="1"/>
    <col min="6674" max="6674" width="11.85546875" style="15" bestFit="1" customWidth="1"/>
    <col min="6675" max="6679" width="4.5703125" style="15" bestFit="1" customWidth="1"/>
    <col min="6680" max="6680" width="4" style="15" bestFit="1" customWidth="1"/>
    <col min="6681" max="6684" width="4.5703125" style="15" bestFit="1" customWidth="1"/>
    <col min="6685" max="6685" width="14.42578125" style="15" bestFit="1" customWidth="1"/>
    <col min="6686" max="6686" width="13.42578125" style="15" bestFit="1" customWidth="1"/>
    <col min="6687" max="6912" width="9.140625" style="15"/>
    <col min="6913" max="6913" width="29.85546875" style="15" bestFit="1" customWidth="1"/>
    <col min="6914" max="6914" width="11.85546875" style="15" bestFit="1" customWidth="1"/>
    <col min="6915" max="6915" width="11.85546875" style="15" customWidth="1"/>
    <col min="6916" max="6916" width="4.5703125" style="15" bestFit="1" customWidth="1"/>
    <col min="6917" max="6918" width="5.140625" style="15" bestFit="1" customWidth="1"/>
    <col min="6919" max="6919" width="4.5703125" style="15" bestFit="1" customWidth="1"/>
    <col min="6920" max="6920" width="5.140625" style="15" bestFit="1" customWidth="1"/>
    <col min="6921" max="6921" width="4" style="15" bestFit="1" customWidth="1"/>
    <col min="6922" max="6925" width="4.5703125" style="15" bestFit="1" customWidth="1"/>
    <col min="6926" max="6926" width="14.42578125" style="15" bestFit="1" customWidth="1"/>
    <col min="6927" max="6927" width="13.42578125" style="15" bestFit="1" customWidth="1"/>
    <col min="6928" max="6928" width="9.140625" style="15"/>
    <col min="6929" max="6929" width="49" style="15" bestFit="1" customWidth="1"/>
    <col min="6930" max="6930" width="11.85546875" style="15" bestFit="1" customWidth="1"/>
    <col min="6931" max="6935" width="4.5703125" style="15" bestFit="1" customWidth="1"/>
    <col min="6936" max="6936" width="4" style="15" bestFit="1" customWidth="1"/>
    <col min="6937" max="6940" width="4.5703125" style="15" bestFit="1" customWidth="1"/>
    <col min="6941" max="6941" width="14.42578125" style="15" bestFit="1" customWidth="1"/>
    <col min="6942" max="6942" width="13.42578125" style="15" bestFit="1" customWidth="1"/>
    <col min="6943" max="7168" width="9.140625" style="15"/>
    <col min="7169" max="7169" width="29.85546875" style="15" bestFit="1" customWidth="1"/>
    <col min="7170" max="7170" width="11.85546875" style="15" bestFit="1" customWidth="1"/>
    <col min="7171" max="7171" width="11.85546875" style="15" customWidth="1"/>
    <col min="7172" max="7172" width="4.5703125" style="15" bestFit="1" customWidth="1"/>
    <col min="7173" max="7174" width="5.140625" style="15" bestFit="1" customWidth="1"/>
    <col min="7175" max="7175" width="4.5703125" style="15" bestFit="1" customWidth="1"/>
    <col min="7176" max="7176" width="5.140625" style="15" bestFit="1" customWidth="1"/>
    <col min="7177" max="7177" width="4" style="15" bestFit="1" customWidth="1"/>
    <col min="7178" max="7181" width="4.5703125" style="15" bestFit="1" customWidth="1"/>
    <col min="7182" max="7182" width="14.42578125" style="15" bestFit="1" customWidth="1"/>
    <col min="7183" max="7183" width="13.42578125" style="15" bestFit="1" customWidth="1"/>
    <col min="7184" max="7184" width="9.140625" style="15"/>
    <col min="7185" max="7185" width="49" style="15" bestFit="1" customWidth="1"/>
    <col min="7186" max="7186" width="11.85546875" style="15" bestFit="1" customWidth="1"/>
    <col min="7187" max="7191" width="4.5703125" style="15" bestFit="1" customWidth="1"/>
    <col min="7192" max="7192" width="4" style="15" bestFit="1" customWidth="1"/>
    <col min="7193" max="7196" width="4.5703125" style="15" bestFit="1" customWidth="1"/>
    <col min="7197" max="7197" width="14.42578125" style="15" bestFit="1" customWidth="1"/>
    <col min="7198" max="7198" width="13.42578125" style="15" bestFit="1" customWidth="1"/>
    <col min="7199" max="7424" width="9.140625" style="15"/>
    <col min="7425" max="7425" width="29.85546875" style="15" bestFit="1" customWidth="1"/>
    <col min="7426" max="7426" width="11.85546875" style="15" bestFit="1" customWidth="1"/>
    <col min="7427" max="7427" width="11.85546875" style="15" customWidth="1"/>
    <col min="7428" max="7428" width="4.5703125" style="15" bestFit="1" customWidth="1"/>
    <col min="7429" max="7430" width="5.140625" style="15" bestFit="1" customWidth="1"/>
    <col min="7431" max="7431" width="4.5703125" style="15" bestFit="1" customWidth="1"/>
    <col min="7432" max="7432" width="5.140625" style="15" bestFit="1" customWidth="1"/>
    <col min="7433" max="7433" width="4" style="15" bestFit="1" customWidth="1"/>
    <col min="7434" max="7437" width="4.5703125" style="15" bestFit="1" customWidth="1"/>
    <col min="7438" max="7438" width="14.42578125" style="15" bestFit="1" customWidth="1"/>
    <col min="7439" max="7439" width="13.42578125" style="15" bestFit="1" customWidth="1"/>
    <col min="7440" max="7440" width="9.140625" style="15"/>
    <col min="7441" max="7441" width="49" style="15" bestFit="1" customWidth="1"/>
    <col min="7442" max="7442" width="11.85546875" style="15" bestFit="1" customWidth="1"/>
    <col min="7443" max="7447" width="4.5703125" style="15" bestFit="1" customWidth="1"/>
    <col min="7448" max="7448" width="4" style="15" bestFit="1" customWidth="1"/>
    <col min="7449" max="7452" width="4.5703125" style="15" bestFit="1" customWidth="1"/>
    <col min="7453" max="7453" width="14.42578125" style="15" bestFit="1" customWidth="1"/>
    <col min="7454" max="7454" width="13.42578125" style="15" bestFit="1" customWidth="1"/>
    <col min="7455" max="7680" width="9.140625" style="15"/>
    <col min="7681" max="7681" width="29.85546875" style="15" bestFit="1" customWidth="1"/>
    <col min="7682" max="7682" width="11.85546875" style="15" bestFit="1" customWidth="1"/>
    <col min="7683" max="7683" width="11.85546875" style="15" customWidth="1"/>
    <col min="7684" max="7684" width="4.5703125" style="15" bestFit="1" customWidth="1"/>
    <col min="7685" max="7686" width="5.140625" style="15" bestFit="1" customWidth="1"/>
    <col min="7687" max="7687" width="4.5703125" style="15" bestFit="1" customWidth="1"/>
    <col min="7688" max="7688" width="5.140625" style="15" bestFit="1" customWidth="1"/>
    <col min="7689" max="7689" width="4" style="15" bestFit="1" customWidth="1"/>
    <col min="7690" max="7693" width="4.5703125" style="15" bestFit="1" customWidth="1"/>
    <col min="7694" max="7694" width="14.42578125" style="15" bestFit="1" customWidth="1"/>
    <col min="7695" max="7695" width="13.42578125" style="15" bestFit="1" customWidth="1"/>
    <col min="7696" max="7696" width="9.140625" style="15"/>
    <col min="7697" max="7697" width="49" style="15" bestFit="1" customWidth="1"/>
    <col min="7698" max="7698" width="11.85546875" style="15" bestFit="1" customWidth="1"/>
    <col min="7699" max="7703" width="4.5703125" style="15" bestFit="1" customWidth="1"/>
    <col min="7704" max="7704" width="4" style="15" bestFit="1" customWidth="1"/>
    <col min="7705" max="7708" width="4.5703125" style="15" bestFit="1" customWidth="1"/>
    <col min="7709" max="7709" width="14.42578125" style="15" bestFit="1" customWidth="1"/>
    <col min="7710" max="7710" width="13.42578125" style="15" bestFit="1" customWidth="1"/>
    <col min="7711" max="7936" width="9.140625" style="15"/>
    <col min="7937" max="7937" width="29.85546875" style="15" bestFit="1" customWidth="1"/>
    <col min="7938" max="7938" width="11.85546875" style="15" bestFit="1" customWidth="1"/>
    <col min="7939" max="7939" width="11.85546875" style="15" customWidth="1"/>
    <col min="7940" max="7940" width="4.5703125" style="15" bestFit="1" customWidth="1"/>
    <col min="7941" max="7942" width="5.140625" style="15" bestFit="1" customWidth="1"/>
    <col min="7943" max="7943" width="4.5703125" style="15" bestFit="1" customWidth="1"/>
    <col min="7944" max="7944" width="5.140625" style="15" bestFit="1" customWidth="1"/>
    <col min="7945" max="7945" width="4" style="15" bestFit="1" customWidth="1"/>
    <col min="7946" max="7949" width="4.5703125" style="15" bestFit="1" customWidth="1"/>
    <col min="7950" max="7950" width="14.42578125" style="15" bestFit="1" customWidth="1"/>
    <col min="7951" max="7951" width="13.42578125" style="15" bestFit="1" customWidth="1"/>
    <col min="7952" max="7952" width="9.140625" style="15"/>
    <col min="7953" max="7953" width="49" style="15" bestFit="1" customWidth="1"/>
    <col min="7954" max="7954" width="11.85546875" style="15" bestFit="1" customWidth="1"/>
    <col min="7955" max="7959" width="4.5703125" style="15" bestFit="1" customWidth="1"/>
    <col min="7960" max="7960" width="4" style="15" bestFit="1" customWidth="1"/>
    <col min="7961" max="7964" width="4.5703125" style="15" bestFit="1" customWidth="1"/>
    <col min="7965" max="7965" width="14.42578125" style="15" bestFit="1" customWidth="1"/>
    <col min="7966" max="7966" width="13.42578125" style="15" bestFit="1" customWidth="1"/>
    <col min="7967" max="8192" width="9.140625" style="15"/>
    <col min="8193" max="8193" width="29.85546875" style="15" bestFit="1" customWidth="1"/>
    <col min="8194" max="8194" width="11.85546875" style="15" bestFit="1" customWidth="1"/>
    <col min="8195" max="8195" width="11.85546875" style="15" customWidth="1"/>
    <col min="8196" max="8196" width="4.5703125" style="15" bestFit="1" customWidth="1"/>
    <col min="8197" max="8198" width="5.140625" style="15" bestFit="1" customWidth="1"/>
    <col min="8199" max="8199" width="4.5703125" style="15" bestFit="1" customWidth="1"/>
    <col min="8200" max="8200" width="5.140625" style="15" bestFit="1" customWidth="1"/>
    <col min="8201" max="8201" width="4" style="15" bestFit="1" customWidth="1"/>
    <col min="8202" max="8205" width="4.5703125" style="15" bestFit="1" customWidth="1"/>
    <col min="8206" max="8206" width="14.42578125" style="15" bestFit="1" customWidth="1"/>
    <col min="8207" max="8207" width="13.42578125" style="15" bestFit="1" customWidth="1"/>
    <col min="8208" max="8208" width="9.140625" style="15"/>
    <col min="8209" max="8209" width="49" style="15" bestFit="1" customWidth="1"/>
    <col min="8210" max="8210" width="11.85546875" style="15" bestFit="1" customWidth="1"/>
    <col min="8211" max="8215" width="4.5703125" style="15" bestFit="1" customWidth="1"/>
    <col min="8216" max="8216" width="4" style="15" bestFit="1" customWidth="1"/>
    <col min="8217" max="8220" width="4.5703125" style="15" bestFit="1" customWidth="1"/>
    <col min="8221" max="8221" width="14.42578125" style="15" bestFit="1" customWidth="1"/>
    <col min="8222" max="8222" width="13.42578125" style="15" bestFit="1" customWidth="1"/>
    <col min="8223" max="8448" width="9.140625" style="15"/>
    <col min="8449" max="8449" width="29.85546875" style="15" bestFit="1" customWidth="1"/>
    <col min="8450" max="8450" width="11.85546875" style="15" bestFit="1" customWidth="1"/>
    <col min="8451" max="8451" width="11.85546875" style="15" customWidth="1"/>
    <col min="8452" max="8452" width="4.5703125" style="15" bestFit="1" customWidth="1"/>
    <col min="8453" max="8454" width="5.140625" style="15" bestFit="1" customWidth="1"/>
    <col min="8455" max="8455" width="4.5703125" style="15" bestFit="1" customWidth="1"/>
    <col min="8456" max="8456" width="5.140625" style="15" bestFit="1" customWidth="1"/>
    <col min="8457" max="8457" width="4" style="15" bestFit="1" customWidth="1"/>
    <col min="8458" max="8461" width="4.5703125" style="15" bestFit="1" customWidth="1"/>
    <col min="8462" max="8462" width="14.42578125" style="15" bestFit="1" customWidth="1"/>
    <col min="8463" max="8463" width="13.42578125" style="15" bestFit="1" customWidth="1"/>
    <col min="8464" max="8464" width="9.140625" style="15"/>
    <col min="8465" max="8465" width="49" style="15" bestFit="1" customWidth="1"/>
    <col min="8466" max="8466" width="11.85546875" style="15" bestFit="1" customWidth="1"/>
    <col min="8467" max="8471" width="4.5703125" style="15" bestFit="1" customWidth="1"/>
    <col min="8472" max="8472" width="4" style="15" bestFit="1" customWidth="1"/>
    <col min="8473" max="8476" width="4.5703125" style="15" bestFit="1" customWidth="1"/>
    <col min="8477" max="8477" width="14.42578125" style="15" bestFit="1" customWidth="1"/>
    <col min="8478" max="8478" width="13.42578125" style="15" bestFit="1" customWidth="1"/>
    <col min="8479" max="8704" width="9.140625" style="15"/>
    <col min="8705" max="8705" width="29.85546875" style="15" bestFit="1" customWidth="1"/>
    <col min="8706" max="8706" width="11.85546875" style="15" bestFit="1" customWidth="1"/>
    <col min="8707" max="8707" width="11.85546875" style="15" customWidth="1"/>
    <col min="8708" max="8708" width="4.5703125" style="15" bestFit="1" customWidth="1"/>
    <col min="8709" max="8710" width="5.140625" style="15" bestFit="1" customWidth="1"/>
    <col min="8711" max="8711" width="4.5703125" style="15" bestFit="1" customWidth="1"/>
    <col min="8712" max="8712" width="5.140625" style="15" bestFit="1" customWidth="1"/>
    <col min="8713" max="8713" width="4" style="15" bestFit="1" customWidth="1"/>
    <col min="8714" max="8717" width="4.5703125" style="15" bestFit="1" customWidth="1"/>
    <col min="8718" max="8718" width="14.42578125" style="15" bestFit="1" customWidth="1"/>
    <col min="8719" max="8719" width="13.42578125" style="15" bestFit="1" customWidth="1"/>
    <col min="8720" max="8720" width="9.140625" style="15"/>
    <col min="8721" max="8721" width="49" style="15" bestFit="1" customWidth="1"/>
    <col min="8722" max="8722" width="11.85546875" style="15" bestFit="1" customWidth="1"/>
    <col min="8723" max="8727" width="4.5703125" style="15" bestFit="1" customWidth="1"/>
    <col min="8728" max="8728" width="4" style="15" bestFit="1" customWidth="1"/>
    <col min="8729" max="8732" width="4.5703125" style="15" bestFit="1" customWidth="1"/>
    <col min="8733" max="8733" width="14.42578125" style="15" bestFit="1" customWidth="1"/>
    <col min="8734" max="8734" width="13.42578125" style="15" bestFit="1" customWidth="1"/>
    <col min="8735" max="8960" width="9.140625" style="15"/>
    <col min="8961" max="8961" width="29.85546875" style="15" bestFit="1" customWidth="1"/>
    <col min="8962" max="8962" width="11.85546875" style="15" bestFit="1" customWidth="1"/>
    <col min="8963" max="8963" width="11.85546875" style="15" customWidth="1"/>
    <col min="8964" max="8964" width="4.5703125" style="15" bestFit="1" customWidth="1"/>
    <col min="8965" max="8966" width="5.140625" style="15" bestFit="1" customWidth="1"/>
    <col min="8967" max="8967" width="4.5703125" style="15" bestFit="1" customWidth="1"/>
    <col min="8968" max="8968" width="5.140625" style="15" bestFit="1" customWidth="1"/>
    <col min="8969" max="8969" width="4" style="15" bestFit="1" customWidth="1"/>
    <col min="8970" max="8973" width="4.5703125" style="15" bestFit="1" customWidth="1"/>
    <col min="8974" max="8974" width="14.42578125" style="15" bestFit="1" customWidth="1"/>
    <col min="8975" max="8975" width="13.42578125" style="15" bestFit="1" customWidth="1"/>
    <col min="8976" max="8976" width="9.140625" style="15"/>
    <col min="8977" max="8977" width="49" style="15" bestFit="1" customWidth="1"/>
    <col min="8978" max="8978" width="11.85546875" style="15" bestFit="1" customWidth="1"/>
    <col min="8979" max="8983" width="4.5703125" style="15" bestFit="1" customWidth="1"/>
    <col min="8984" max="8984" width="4" style="15" bestFit="1" customWidth="1"/>
    <col min="8985" max="8988" width="4.5703125" style="15" bestFit="1" customWidth="1"/>
    <col min="8989" max="8989" width="14.42578125" style="15" bestFit="1" customWidth="1"/>
    <col min="8990" max="8990" width="13.42578125" style="15" bestFit="1" customWidth="1"/>
    <col min="8991" max="9216" width="9.140625" style="15"/>
    <col min="9217" max="9217" width="29.85546875" style="15" bestFit="1" customWidth="1"/>
    <col min="9218" max="9218" width="11.85546875" style="15" bestFit="1" customWidth="1"/>
    <col min="9219" max="9219" width="11.85546875" style="15" customWidth="1"/>
    <col min="9220" max="9220" width="4.5703125" style="15" bestFit="1" customWidth="1"/>
    <col min="9221" max="9222" width="5.140625" style="15" bestFit="1" customWidth="1"/>
    <col min="9223" max="9223" width="4.5703125" style="15" bestFit="1" customWidth="1"/>
    <col min="9224" max="9224" width="5.140625" style="15" bestFit="1" customWidth="1"/>
    <col min="9225" max="9225" width="4" style="15" bestFit="1" customWidth="1"/>
    <col min="9226" max="9229" width="4.5703125" style="15" bestFit="1" customWidth="1"/>
    <col min="9230" max="9230" width="14.42578125" style="15" bestFit="1" customWidth="1"/>
    <col min="9231" max="9231" width="13.42578125" style="15" bestFit="1" customWidth="1"/>
    <col min="9232" max="9232" width="9.140625" style="15"/>
    <col min="9233" max="9233" width="49" style="15" bestFit="1" customWidth="1"/>
    <col min="9234" max="9234" width="11.85546875" style="15" bestFit="1" customWidth="1"/>
    <col min="9235" max="9239" width="4.5703125" style="15" bestFit="1" customWidth="1"/>
    <col min="9240" max="9240" width="4" style="15" bestFit="1" customWidth="1"/>
    <col min="9241" max="9244" width="4.5703125" style="15" bestFit="1" customWidth="1"/>
    <col min="9245" max="9245" width="14.42578125" style="15" bestFit="1" customWidth="1"/>
    <col min="9246" max="9246" width="13.42578125" style="15" bestFit="1" customWidth="1"/>
    <col min="9247" max="9472" width="9.140625" style="15"/>
    <col min="9473" max="9473" width="29.85546875" style="15" bestFit="1" customWidth="1"/>
    <col min="9474" max="9474" width="11.85546875" style="15" bestFit="1" customWidth="1"/>
    <col min="9475" max="9475" width="11.85546875" style="15" customWidth="1"/>
    <col min="9476" max="9476" width="4.5703125" style="15" bestFit="1" customWidth="1"/>
    <col min="9477" max="9478" width="5.140625" style="15" bestFit="1" customWidth="1"/>
    <col min="9479" max="9479" width="4.5703125" style="15" bestFit="1" customWidth="1"/>
    <col min="9480" max="9480" width="5.140625" style="15" bestFit="1" customWidth="1"/>
    <col min="9481" max="9481" width="4" style="15" bestFit="1" customWidth="1"/>
    <col min="9482" max="9485" width="4.5703125" style="15" bestFit="1" customWidth="1"/>
    <col min="9486" max="9486" width="14.42578125" style="15" bestFit="1" customWidth="1"/>
    <col min="9487" max="9487" width="13.42578125" style="15" bestFit="1" customWidth="1"/>
    <col min="9488" max="9488" width="9.140625" style="15"/>
    <col min="9489" max="9489" width="49" style="15" bestFit="1" customWidth="1"/>
    <col min="9490" max="9490" width="11.85546875" style="15" bestFit="1" customWidth="1"/>
    <col min="9491" max="9495" width="4.5703125" style="15" bestFit="1" customWidth="1"/>
    <col min="9496" max="9496" width="4" style="15" bestFit="1" customWidth="1"/>
    <col min="9497" max="9500" width="4.5703125" style="15" bestFit="1" customWidth="1"/>
    <col min="9501" max="9501" width="14.42578125" style="15" bestFit="1" customWidth="1"/>
    <col min="9502" max="9502" width="13.42578125" style="15" bestFit="1" customWidth="1"/>
    <col min="9503" max="9728" width="9.140625" style="15"/>
    <col min="9729" max="9729" width="29.85546875" style="15" bestFit="1" customWidth="1"/>
    <col min="9730" max="9730" width="11.85546875" style="15" bestFit="1" customWidth="1"/>
    <col min="9731" max="9731" width="11.85546875" style="15" customWidth="1"/>
    <col min="9732" max="9732" width="4.5703125" style="15" bestFit="1" customWidth="1"/>
    <col min="9733" max="9734" width="5.140625" style="15" bestFit="1" customWidth="1"/>
    <col min="9735" max="9735" width="4.5703125" style="15" bestFit="1" customWidth="1"/>
    <col min="9736" max="9736" width="5.140625" style="15" bestFit="1" customWidth="1"/>
    <col min="9737" max="9737" width="4" style="15" bestFit="1" customWidth="1"/>
    <col min="9738" max="9741" width="4.5703125" style="15" bestFit="1" customWidth="1"/>
    <col min="9742" max="9742" width="14.42578125" style="15" bestFit="1" customWidth="1"/>
    <col min="9743" max="9743" width="13.42578125" style="15" bestFit="1" customWidth="1"/>
    <col min="9744" max="9744" width="9.140625" style="15"/>
    <col min="9745" max="9745" width="49" style="15" bestFit="1" customWidth="1"/>
    <col min="9746" max="9746" width="11.85546875" style="15" bestFit="1" customWidth="1"/>
    <col min="9747" max="9751" width="4.5703125" style="15" bestFit="1" customWidth="1"/>
    <col min="9752" max="9752" width="4" style="15" bestFit="1" customWidth="1"/>
    <col min="9753" max="9756" width="4.5703125" style="15" bestFit="1" customWidth="1"/>
    <col min="9757" max="9757" width="14.42578125" style="15" bestFit="1" customWidth="1"/>
    <col min="9758" max="9758" width="13.42578125" style="15" bestFit="1" customWidth="1"/>
    <col min="9759" max="9984" width="9.140625" style="15"/>
    <col min="9985" max="9985" width="29.85546875" style="15" bestFit="1" customWidth="1"/>
    <col min="9986" max="9986" width="11.85546875" style="15" bestFit="1" customWidth="1"/>
    <col min="9987" max="9987" width="11.85546875" style="15" customWidth="1"/>
    <col min="9988" max="9988" width="4.5703125" style="15" bestFit="1" customWidth="1"/>
    <col min="9989" max="9990" width="5.140625" style="15" bestFit="1" customWidth="1"/>
    <col min="9991" max="9991" width="4.5703125" style="15" bestFit="1" customWidth="1"/>
    <col min="9992" max="9992" width="5.140625" style="15" bestFit="1" customWidth="1"/>
    <col min="9993" max="9993" width="4" style="15" bestFit="1" customWidth="1"/>
    <col min="9994" max="9997" width="4.5703125" style="15" bestFit="1" customWidth="1"/>
    <col min="9998" max="9998" width="14.42578125" style="15" bestFit="1" customWidth="1"/>
    <col min="9999" max="9999" width="13.42578125" style="15" bestFit="1" customWidth="1"/>
    <col min="10000" max="10000" width="9.140625" style="15"/>
    <col min="10001" max="10001" width="49" style="15" bestFit="1" customWidth="1"/>
    <col min="10002" max="10002" width="11.85546875" style="15" bestFit="1" customWidth="1"/>
    <col min="10003" max="10007" width="4.5703125" style="15" bestFit="1" customWidth="1"/>
    <col min="10008" max="10008" width="4" style="15" bestFit="1" customWidth="1"/>
    <col min="10009" max="10012" width="4.5703125" style="15" bestFit="1" customWidth="1"/>
    <col min="10013" max="10013" width="14.42578125" style="15" bestFit="1" customWidth="1"/>
    <col min="10014" max="10014" width="13.42578125" style="15" bestFit="1" customWidth="1"/>
    <col min="10015" max="10240" width="9.140625" style="15"/>
    <col min="10241" max="10241" width="29.85546875" style="15" bestFit="1" customWidth="1"/>
    <col min="10242" max="10242" width="11.85546875" style="15" bestFit="1" customWidth="1"/>
    <col min="10243" max="10243" width="11.85546875" style="15" customWidth="1"/>
    <col min="10244" max="10244" width="4.5703125" style="15" bestFit="1" customWidth="1"/>
    <col min="10245" max="10246" width="5.140625" style="15" bestFit="1" customWidth="1"/>
    <col min="10247" max="10247" width="4.5703125" style="15" bestFit="1" customWidth="1"/>
    <col min="10248" max="10248" width="5.140625" style="15" bestFit="1" customWidth="1"/>
    <col min="10249" max="10249" width="4" style="15" bestFit="1" customWidth="1"/>
    <col min="10250" max="10253" width="4.5703125" style="15" bestFit="1" customWidth="1"/>
    <col min="10254" max="10254" width="14.42578125" style="15" bestFit="1" customWidth="1"/>
    <col min="10255" max="10255" width="13.42578125" style="15" bestFit="1" customWidth="1"/>
    <col min="10256" max="10256" width="9.140625" style="15"/>
    <col min="10257" max="10257" width="49" style="15" bestFit="1" customWidth="1"/>
    <col min="10258" max="10258" width="11.85546875" style="15" bestFit="1" customWidth="1"/>
    <col min="10259" max="10263" width="4.5703125" style="15" bestFit="1" customWidth="1"/>
    <col min="10264" max="10264" width="4" style="15" bestFit="1" customWidth="1"/>
    <col min="10265" max="10268" width="4.5703125" style="15" bestFit="1" customWidth="1"/>
    <col min="10269" max="10269" width="14.42578125" style="15" bestFit="1" customWidth="1"/>
    <col min="10270" max="10270" width="13.42578125" style="15" bestFit="1" customWidth="1"/>
    <col min="10271" max="10496" width="9.140625" style="15"/>
    <col min="10497" max="10497" width="29.85546875" style="15" bestFit="1" customWidth="1"/>
    <col min="10498" max="10498" width="11.85546875" style="15" bestFit="1" customWidth="1"/>
    <col min="10499" max="10499" width="11.85546875" style="15" customWidth="1"/>
    <col min="10500" max="10500" width="4.5703125" style="15" bestFit="1" customWidth="1"/>
    <col min="10501" max="10502" width="5.140625" style="15" bestFit="1" customWidth="1"/>
    <col min="10503" max="10503" width="4.5703125" style="15" bestFit="1" customWidth="1"/>
    <col min="10504" max="10504" width="5.140625" style="15" bestFit="1" customWidth="1"/>
    <col min="10505" max="10505" width="4" style="15" bestFit="1" customWidth="1"/>
    <col min="10506" max="10509" width="4.5703125" style="15" bestFit="1" customWidth="1"/>
    <col min="10510" max="10510" width="14.42578125" style="15" bestFit="1" customWidth="1"/>
    <col min="10511" max="10511" width="13.42578125" style="15" bestFit="1" customWidth="1"/>
    <col min="10512" max="10512" width="9.140625" style="15"/>
    <col min="10513" max="10513" width="49" style="15" bestFit="1" customWidth="1"/>
    <col min="10514" max="10514" width="11.85546875" style="15" bestFit="1" customWidth="1"/>
    <col min="10515" max="10519" width="4.5703125" style="15" bestFit="1" customWidth="1"/>
    <col min="10520" max="10520" width="4" style="15" bestFit="1" customWidth="1"/>
    <col min="10521" max="10524" width="4.5703125" style="15" bestFit="1" customWidth="1"/>
    <col min="10525" max="10525" width="14.42578125" style="15" bestFit="1" customWidth="1"/>
    <col min="10526" max="10526" width="13.42578125" style="15" bestFit="1" customWidth="1"/>
    <col min="10527" max="10752" width="9.140625" style="15"/>
    <col min="10753" max="10753" width="29.85546875" style="15" bestFit="1" customWidth="1"/>
    <col min="10754" max="10754" width="11.85546875" style="15" bestFit="1" customWidth="1"/>
    <col min="10755" max="10755" width="11.85546875" style="15" customWidth="1"/>
    <col min="10756" max="10756" width="4.5703125" style="15" bestFit="1" customWidth="1"/>
    <col min="10757" max="10758" width="5.140625" style="15" bestFit="1" customWidth="1"/>
    <col min="10759" max="10759" width="4.5703125" style="15" bestFit="1" customWidth="1"/>
    <col min="10760" max="10760" width="5.140625" style="15" bestFit="1" customWidth="1"/>
    <col min="10761" max="10761" width="4" style="15" bestFit="1" customWidth="1"/>
    <col min="10762" max="10765" width="4.5703125" style="15" bestFit="1" customWidth="1"/>
    <col min="10766" max="10766" width="14.42578125" style="15" bestFit="1" customWidth="1"/>
    <col min="10767" max="10767" width="13.42578125" style="15" bestFit="1" customWidth="1"/>
    <col min="10768" max="10768" width="9.140625" style="15"/>
    <col min="10769" max="10769" width="49" style="15" bestFit="1" customWidth="1"/>
    <col min="10770" max="10770" width="11.85546875" style="15" bestFit="1" customWidth="1"/>
    <col min="10771" max="10775" width="4.5703125" style="15" bestFit="1" customWidth="1"/>
    <col min="10776" max="10776" width="4" style="15" bestFit="1" customWidth="1"/>
    <col min="10777" max="10780" width="4.5703125" style="15" bestFit="1" customWidth="1"/>
    <col min="10781" max="10781" width="14.42578125" style="15" bestFit="1" customWidth="1"/>
    <col min="10782" max="10782" width="13.42578125" style="15" bestFit="1" customWidth="1"/>
    <col min="10783" max="11008" width="9.140625" style="15"/>
    <col min="11009" max="11009" width="29.85546875" style="15" bestFit="1" customWidth="1"/>
    <col min="11010" max="11010" width="11.85546875" style="15" bestFit="1" customWidth="1"/>
    <col min="11011" max="11011" width="11.85546875" style="15" customWidth="1"/>
    <col min="11012" max="11012" width="4.5703125" style="15" bestFit="1" customWidth="1"/>
    <col min="11013" max="11014" width="5.140625" style="15" bestFit="1" customWidth="1"/>
    <col min="11015" max="11015" width="4.5703125" style="15" bestFit="1" customWidth="1"/>
    <col min="11016" max="11016" width="5.140625" style="15" bestFit="1" customWidth="1"/>
    <col min="11017" max="11017" width="4" style="15" bestFit="1" customWidth="1"/>
    <col min="11018" max="11021" width="4.5703125" style="15" bestFit="1" customWidth="1"/>
    <col min="11022" max="11022" width="14.42578125" style="15" bestFit="1" customWidth="1"/>
    <col min="11023" max="11023" width="13.42578125" style="15" bestFit="1" customWidth="1"/>
    <col min="11024" max="11024" width="9.140625" style="15"/>
    <col min="11025" max="11025" width="49" style="15" bestFit="1" customWidth="1"/>
    <col min="11026" max="11026" width="11.85546875" style="15" bestFit="1" customWidth="1"/>
    <col min="11027" max="11031" width="4.5703125" style="15" bestFit="1" customWidth="1"/>
    <col min="11032" max="11032" width="4" style="15" bestFit="1" customWidth="1"/>
    <col min="11033" max="11036" width="4.5703125" style="15" bestFit="1" customWidth="1"/>
    <col min="11037" max="11037" width="14.42578125" style="15" bestFit="1" customWidth="1"/>
    <col min="11038" max="11038" width="13.42578125" style="15" bestFit="1" customWidth="1"/>
    <col min="11039" max="11264" width="9.140625" style="15"/>
    <col min="11265" max="11265" width="29.85546875" style="15" bestFit="1" customWidth="1"/>
    <col min="11266" max="11266" width="11.85546875" style="15" bestFit="1" customWidth="1"/>
    <col min="11267" max="11267" width="11.85546875" style="15" customWidth="1"/>
    <col min="11268" max="11268" width="4.5703125" style="15" bestFit="1" customWidth="1"/>
    <col min="11269" max="11270" width="5.140625" style="15" bestFit="1" customWidth="1"/>
    <col min="11271" max="11271" width="4.5703125" style="15" bestFit="1" customWidth="1"/>
    <col min="11272" max="11272" width="5.140625" style="15" bestFit="1" customWidth="1"/>
    <col min="11273" max="11273" width="4" style="15" bestFit="1" customWidth="1"/>
    <col min="11274" max="11277" width="4.5703125" style="15" bestFit="1" customWidth="1"/>
    <col min="11278" max="11278" width="14.42578125" style="15" bestFit="1" customWidth="1"/>
    <col min="11279" max="11279" width="13.42578125" style="15" bestFit="1" customWidth="1"/>
    <col min="11280" max="11280" width="9.140625" style="15"/>
    <col min="11281" max="11281" width="49" style="15" bestFit="1" customWidth="1"/>
    <col min="11282" max="11282" width="11.85546875" style="15" bestFit="1" customWidth="1"/>
    <col min="11283" max="11287" width="4.5703125" style="15" bestFit="1" customWidth="1"/>
    <col min="11288" max="11288" width="4" style="15" bestFit="1" customWidth="1"/>
    <col min="11289" max="11292" width="4.5703125" style="15" bestFit="1" customWidth="1"/>
    <col min="11293" max="11293" width="14.42578125" style="15" bestFit="1" customWidth="1"/>
    <col min="11294" max="11294" width="13.42578125" style="15" bestFit="1" customWidth="1"/>
    <col min="11295" max="11520" width="9.140625" style="15"/>
    <col min="11521" max="11521" width="29.85546875" style="15" bestFit="1" customWidth="1"/>
    <col min="11522" max="11522" width="11.85546875" style="15" bestFit="1" customWidth="1"/>
    <col min="11523" max="11523" width="11.85546875" style="15" customWidth="1"/>
    <col min="11524" max="11524" width="4.5703125" style="15" bestFit="1" customWidth="1"/>
    <col min="11525" max="11526" width="5.140625" style="15" bestFit="1" customWidth="1"/>
    <col min="11527" max="11527" width="4.5703125" style="15" bestFit="1" customWidth="1"/>
    <col min="11528" max="11528" width="5.140625" style="15" bestFit="1" customWidth="1"/>
    <col min="11529" max="11529" width="4" style="15" bestFit="1" customWidth="1"/>
    <col min="11530" max="11533" width="4.5703125" style="15" bestFit="1" customWidth="1"/>
    <col min="11534" max="11534" width="14.42578125" style="15" bestFit="1" customWidth="1"/>
    <col min="11535" max="11535" width="13.42578125" style="15" bestFit="1" customWidth="1"/>
    <col min="11536" max="11536" width="9.140625" style="15"/>
    <col min="11537" max="11537" width="49" style="15" bestFit="1" customWidth="1"/>
    <col min="11538" max="11538" width="11.85546875" style="15" bestFit="1" customWidth="1"/>
    <col min="11539" max="11543" width="4.5703125" style="15" bestFit="1" customWidth="1"/>
    <col min="11544" max="11544" width="4" style="15" bestFit="1" customWidth="1"/>
    <col min="11545" max="11548" width="4.5703125" style="15" bestFit="1" customWidth="1"/>
    <col min="11549" max="11549" width="14.42578125" style="15" bestFit="1" customWidth="1"/>
    <col min="11550" max="11550" width="13.42578125" style="15" bestFit="1" customWidth="1"/>
    <col min="11551" max="11776" width="9.140625" style="15"/>
    <col min="11777" max="11777" width="29.85546875" style="15" bestFit="1" customWidth="1"/>
    <col min="11778" max="11778" width="11.85546875" style="15" bestFit="1" customWidth="1"/>
    <col min="11779" max="11779" width="11.85546875" style="15" customWidth="1"/>
    <col min="11780" max="11780" width="4.5703125" style="15" bestFit="1" customWidth="1"/>
    <col min="11781" max="11782" width="5.140625" style="15" bestFit="1" customWidth="1"/>
    <col min="11783" max="11783" width="4.5703125" style="15" bestFit="1" customWidth="1"/>
    <col min="11784" max="11784" width="5.140625" style="15" bestFit="1" customWidth="1"/>
    <col min="11785" max="11785" width="4" style="15" bestFit="1" customWidth="1"/>
    <col min="11786" max="11789" width="4.5703125" style="15" bestFit="1" customWidth="1"/>
    <col min="11790" max="11790" width="14.42578125" style="15" bestFit="1" customWidth="1"/>
    <col min="11791" max="11791" width="13.42578125" style="15" bestFit="1" customWidth="1"/>
    <col min="11792" max="11792" width="9.140625" style="15"/>
    <col min="11793" max="11793" width="49" style="15" bestFit="1" customWidth="1"/>
    <col min="11794" max="11794" width="11.85546875" style="15" bestFit="1" customWidth="1"/>
    <col min="11795" max="11799" width="4.5703125" style="15" bestFit="1" customWidth="1"/>
    <col min="11800" max="11800" width="4" style="15" bestFit="1" customWidth="1"/>
    <col min="11801" max="11804" width="4.5703125" style="15" bestFit="1" customWidth="1"/>
    <col min="11805" max="11805" width="14.42578125" style="15" bestFit="1" customWidth="1"/>
    <col min="11806" max="11806" width="13.42578125" style="15" bestFit="1" customWidth="1"/>
    <col min="11807" max="12032" width="9.140625" style="15"/>
    <col min="12033" max="12033" width="29.85546875" style="15" bestFit="1" customWidth="1"/>
    <col min="12034" max="12034" width="11.85546875" style="15" bestFit="1" customWidth="1"/>
    <col min="12035" max="12035" width="11.85546875" style="15" customWidth="1"/>
    <col min="12036" max="12036" width="4.5703125" style="15" bestFit="1" customWidth="1"/>
    <col min="12037" max="12038" width="5.140625" style="15" bestFit="1" customWidth="1"/>
    <col min="12039" max="12039" width="4.5703125" style="15" bestFit="1" customWidth="1"/>
    <col min="12040" max="12040" width="5.140625" style="15" bestFit="1" customWidth="1"/>
    <col min="12041" max="12041" width="4" style="15" bestFit="1" customWidth="1"/>
    <col min="12042" max="12045" width="4.5703125" style="15" bestFit="1" customWidth="1"/>
    <col min="12046" max="12046" width="14.42578125" style="15" bestFit="1" customWidth="1"/>
    <col min="12047" max="12047" width="13.42578125" style="15" bestFit="1" customWidth="1"/>
    <col min="12048" max="12048" width="9.140625" style="15"/>
    <col min="12049" max="12049" width="49" style="15" bestFit="1" customWidth="1"/>
    <col min="12050" max="12050" width="11.85546875" style="15" bestFit="1" customWidth="1"/>
    <col min="12051" max="12055" width="4.5703125" style="15" bestFit="1" customWidth="1"/>
    <col min="12056" max="12056" width="4" style="15" bestFit="1" customWidth="1"/>
    <col min="12057" max="12060" width="4.5703125" style="15" bestFit="1" customWidth="1"/>
    <col min="12061" max="12061" width="14.42578125" style="15" bestFit="1" customWidth="1"/>
    <col min="12062" max="12062" width="13.42578125" style="15" bestFit="1" customWidth="1"/>
    <col min="12063" max="12288" width="9.140625" style="15"/>
    <col min="12289" max="12289" width="29.85546875" style="15" bestFit="1" customWidth="1"/>
    <col min="12290" max="12290" width="11.85546875" style="15" bestFit="1" customWidth="1"/>
    <col min="12291" max="12291" width="11.85546875" style="15" customWidth="1"/>
    <col min="12292" max="12292" width="4.5703125" style="15" bestFit="1" customWidth="1"/>
    <col min="12293" max="12294" width="5.140625" style="15" bestFit="1" customWidth="1"/>
    <col min="12295" max="12295" width="4.5703125" style="15" bestFit="1" customWidth="1"/>
    <col min="12296" max="12296" width="5.140625" style="15" bestFit="1" customWidth="1"/>
    <col min="12297" max="12297" width="4" style="15" bestFit="1" customWidth="1"/>
    <col min="12298" max="12301" width="4.5703125" style="15" bestFit="1" customWidth="1"/>
    <col min="12302" max="12302" width="14.42578125" style="15" bestFit="1" customWidth="1"/>
    <col min="12303" max="12303" width="13.42578125" style="15" bestFit="1" customWidth="1"/>
    <col min="12304" max="12304" width="9.140625" style="15"/>
    <col min="12305" max="12305" width="49" style="15" bestFit="1" customWidth="1"/>
    <col min="12306" max="12306" width="11.85546875" style="15" bestFit="1" customWidth="1"/>
    <col min="12307" max="12311" width="4.5703125" style="15" bestFit="1" customWidth="1"/>
    <col min="12312" max="12312" width="4" style="15" bestFit="1" customWidth="1"/>
    <col min="12313" max="12316" width="4.5703125" style="15" bestFit="1" customWidth="1"/>
    <col min="12317" max="12317" width="14.42578125" style="15" bestFit="1" customWidth="1"/>
    <col min="12318" max="12318" width="13.42578125" style="15" bestFit="1" customWidth="1"/>
    <col min="12319" max="12544" width="9.140625" style="15"/>
    <col min="12545" max="12545" width="29.85546875" style="15" bestFit="1" customWidth="1"/>
    <col min="12546" max="12546" width="11.85546875" style="15" bestFit="1" customWidth="1"/>
    <col min="12547" max="12547" width="11.85546875" style="15" customWidth="1"/>
    <col min="12548" max="12548" width="4.5703125" style="15" bestFit="1" customWidth="1"/>
    <col min="12549" max="12550" width="5.140625" style="15" bestFit="1" customWidth="1"/>
    <col min="12551" max="12551" width="4.5703125" style="15" bestFit="1" customWidth="1"/>
    <col min="12552" max="12552" width="5.140625" style="15" bestFit="1" customWidth="1"/>
    <col min="12553" max="12553" width="4" style="15" bestFit="1" customWidth="1"/>
    <col min="12554" max="12557" width="4.5703125" style="15" bestFit="1" customWidth="1"/>
    <col min="12558" max="12558" width="14.42578125" style="15" bestFit="1" customWidth="1"/>
    <col min="12559" max="12559" width="13.42578125" style="15" bestFit="1" customWidth="1"/>
    <col min="12560" max="12560" width="9.140625" style="15"/>
    <col min="12561" max="12561" width="49" style="15" bestFit="1" customWidth="1"/>
    <col min="12562" max="12562" width="11.85546875" style="15" bestFit="1" customWidth="1"/>
    <col min="12563" max="12567" width="4.5703125" style="15" bestFit="1" customWidth="1"/>
    <col min="12568" max="12568" width="4" style="15" bestFit="1" customWidth="1"/>
    <col min="12569" max="12572" width="4.5703125" style="15" bestFit="1" customWidth="1"/>
    <col min="12573" max="12573" width="14.42578125" style="15" bestFit="1" customWidth="1"/>
    <col min="12574" max="12574" width="13.42578125" style="15" bestFit="1" customWidth="1"/>
    <col min="12575" max="12800" width="9.140625" style="15"/>
    <col min="12801" max="12801" width="29.85546875" style="15" bestFit="1" customWidth="1"/>
    <col min="12802" max="12802" width="11.85546875" style="15" bestFit="1" customWidth="1"/>
    <col min="12803" max="12803" width="11.85546875" style="15" customWidth="1"/>
    <col min="12804" max="12804" width="4.5703125" style="15" bestFit="1" customWidth="1"/>
    <col min="12805" max="12806" width="5.140625" style="15" bestFit="1" customWidth="1"/>
    <col min="12807" max="12807" width="4.5703125" style="15" bestFit="1" customWidth="1"/>
    <col min="12808" max="12808" width="5.140625" style="15" bestFit="1" customWidth="1"/>
    <col min="12809" max="12809" width="4" style="15" bestFit="1" customWidth="1"/>
    <col min="12810" max="12813" width="4.5703125" style="15" bestFit="1" customWidth="1"/>
    <col min="12814" max="12814" width="14.42578125" style="15" bestFit="1" customWidth="1"/>
    <col min="12815" max="12815" width="13.42578125" style="15" bestFit="1" customWidth="1"/>
    <col min="12816" max="12816" width="9.140625" style="15"/>
    <col min="12817" max="12817" width="49" style="15" bestFit="1" customWidth="1"/>
    <col min="12818" max="12818" width="11.85546875" style="15" bestFit="1" customWidth="1"/>
    <col min="12819" max="12823" width="4.5703125" style="15" bestFit="1" customWidth="1"/>
    <col min="12824" max="12824" width="4" style="15" bestFit="1" customWidth="1"/>
    <col min="12825" max="12828" width="4.5703125" style="15" bestFit="1" customWidth="1"/>
    <col min="12829" max="12829" width="14.42578125" style="15" bestFit="1" customWidth="1"/>
    <col min="12830" max="12830" width="13.42578125" style="15" bestFit="1" customWidth="1"/>
    <col min="12831" max="13056" width="9.140625" style="15"/>
    <col min="13057" max="13057" width="29.85546875" style="15" bestFit="1" customWidth="1"/>
    <col min="13058" max="13058" width="11.85546875" style="15" bestFit="1" customWidth="1"/>
    <col min="13059" max="13059" width="11.85546875" style="15" customWidth="1"/>
    <col min="13060" max="13060" width="4.5703125" style="15" bestFit="1" customWidth="1"/>
    <col min="13061" max="13062" width="5.140625" style="15" bestFit="1" customWidth="1"/>
    <col min="13063" max="13063" width="4.5703125" style="15" bestFit="1" customWidth="1"/>
    <col min="13064" max="13064" width="5.140625" style="15" bestFit="1" customWidth="1"/>
    <col min="13065" max="13065" width="4" style="15" bestFit="1" customWidth="1"/>
    <col min="13066" max="13069" width="4.5703125" style="15" bestFit="1" customWidth="1"/>
    <col min="13070" max="13070" width="14.42578125" style="15" bestFit="1" customWidth="1"/>
    <col min="13071" max="13071" width="13.42578125" style="15" bestFit="1" customWidth="1"/>
    <col min="13072" max="13072" width="9.140625" style="15"/>
    <col min="13073" max="13073" width="49" style="15" bestFit="1" customWidth="1"/>
    <col min="13074" max="13074" width="11.85546875" style="15" bestFit="1" customWidth="1"/>
    <col min="13075" max="13079" width="4.5703125" style="15" bestFit="1" customWidth="1"/>
    <col min="13080" max="13080" width="4" style="15" bestFit="1" customWidth="1"/>
    <col min="13081" max="13084" width="4.5703125" style="15" bestFit="1" customWidth="1"/>
    <col min="13085" max="13085" width="14.42578125" style="15" bestFit="1" customWidth="1"/>
    <col min="13086" max="13086" width="13.42578125" style="15" bestFit="1" customWidth="1"/>
    <col min="13087" max="13312" width="9.140625" style="15"/>
    <col min="13313" max="13313" width="29.85546875" style="15" bestFit="1" customWidth="1"/>
    <col min="13314" max="13314" width="11.85546875" style="15" bestFit="1" customWidth="1"/>
    <col min="13315" max="13315" width="11.85546875" style="15" customWidth="1"/>
    <col min="13316" max="13316" width="4.5703125" style="15" bestFit="1" customWidth="1"/>
    <col min="13317" max="13318" width="5.140625" style="15" bestFit="1" customWidth="1"/>
    <col min="13319" max="13319" width="4.5703125" style="15" bestFit="1" customWidth="1"/>
    <col min="13320" max="13320" width="5.140625" style="15" bestFit="1" customWidth="1"/>
    <col min="13321" max="13321" width="4" style="15" bestFit="1" customWidth="1"/>
    <col min="13322" max="13325" width="4.5703125" style="15" bestFit="1" customWidth="1"/>
    <col min="13326" max="13326" width="14.42578125" style="15" bestFit="1" customWidth="1"/>
    <col min="13327" max="13327" width="13.42578125" style="15" bestFit="1" customWidth="1"/>
    <col min="13328" max="13328" width="9.140625" style="15"/>
    <col min="13329" max="13329" width="49" style="15" bestFit="1" customWidth="1"/>
    <col min="13330" max="13330" width="11.85546875" style="15" bestFit="1" customWidth="1"/>
    <col min="13331" max="13335" width="4.5703125" style="15" bestFit="1" customWidth="1"/>
    <col min="13336" max="13336" width="4" style="15" bestFit="1" customWidth="1"/>
    <col min="13337" max="13340" width="4.5703125" style="15" bestFit="1" customWidth="1"/>
    <col min="13341" max="13341" width="14.42578125" style="15" bestFit="1" customWidth="1"/>
    <col min="13342" max="13342" width="13.42578125" style="15" bestFit="1" customWidth="1"/>
    <col min="13343" max="13568" width="9.140625" style="15"/>
    <col min="13569" max="13569" width="29.85546875" style="15" bestFit="1" customWidth="1"/>
    <col min="13570" max="13570" width="11.85546875" style="15" bestFit="1" customWidth="1"/>
    <col min="13571" max="13571" width="11.85546875" style="15" customWidth="1"/>
    <col min="13572" max="13572" width="4.5703125" style="15" bestFit="1" customWidth="1"/>
    <col min="13573" max="13574" width="5.140625" style="15" bestFit="1" customWidth="1"/>
    <col min="13575" max="13575" width="4.5703125" style="15" bestFit="1" customWidth="1"/>
    <col min="13576" max="13576" width="5.140625" style="15" bestFit="1" customWidth="1"/>
    <col min="13577" max="13577" width="4" style="15" bestFit="1" customWidth="1"/>
    <col min="13578" max="13581" width="4.5703125" style="15" bestFit="1" customWidth="1"/>
    <col min="13582" max="13582" width="14.42578125" style="15" bestFit="1" customWidth="1"/>
    <col min="13583" max="13583" width="13.42578125" style="15" bestFit="1" customWidth="1"/>
    <col min="13584" max="13584" width="9.140625" style="15"/>
    <col min="13585" max="13585" width="49" style="15" bestFit="1" customWidth="1"/>
    <col min="13586" max="13586" width="11.85546875" style="15" bestFit="1" customWidth="1"/>
    <col min="13587" max="13591" width="4.5703125" style="15" bestFit="1" customWidth="1"/>
    <col min="13592" max="13592" width="4" style="15" bestFit="1" customWidth="1"/>
    <col min="13593" max="13596" width="4.5703125" style="15" bestFit="1" customWidth="1"/>
    <col min="13597" max="13597" width="14.42578125" style="15" bestFit="1" customWidth="1"/>
    <col min="13598" max="13598" width="13.42578125" style="15" bestFit="1" customWidth="1"/>
    <col min="13599" max="13824" width="9.140625" style="15"/>
    <col min="13825" max="13825" width="29.85546875" style="15" bestFit="1" customWidth="1"/>
    <col min="13826" max="13826" width="11.85546875" style="15" bestFit="1" customWidth="1"/>
    <col min="13827" max="13827" width="11.85546875" style="15" customWidth="1"/>
    <col min="13828" max="13828" width="4.5703125" style="15" bestFit="1" customWidth="1"/>
    <col min="13829" max="13830" width="5.140625" style="15" bestFit="1" customWidth="1"/>
    <col min="13831" max="13831" width="4.5703125" style="15" bestFit="1" customWidth="1"/>
    <col min="13832" max="13832" width="5.140625" style="15" bestFit="1" customWidth="1"/>
    <col min="13833" max="13833" width="4" style="15" bestFit="1" customWidth="1"/>
    <col min="13834" max="13837" width="4.5703125" style="15" bestFit="1" customWidth="1"/>
    <col min="13838" max="13838" width="14.42578125" style="15" bestFit="1" customWidth="1"/>
    <col min="13839" max="13839" width="13.42578125" style="15" bestFit="1" customWidth="1"/>
    <col min="13840" max="13840" width="9.140625" style="15"/>
    <col min="13841" max="13841" width="49" style="15" bestFit="1" customWidth="1"/>
    <col min="13842" max="13842" width="11.85546875" style="15" bestFit="1" customWidth="1"/>
    <col min="13843" max="13847" width="4.5703125" style="15" bestFit="1" customWidth="1"/>
    <col min="13848" max="13848" width="4" style="15" bestFit="1" customWidth="1"/>
    <col min="13849" max="13852" width="4.5703125" style="15" bestFit="1" customWidth="1"/>
    <col min="13853" max="13853" width="14.42578125" style="15" bestFit="1" customWidth="1"/>
    <col min="13854" max="13854" width="13.42578125" style="15" bestFit="1" customWidth="1"/>
    <col min="13855" max="14080" width="9.140625" style="15"/>
    <col min="14081" max="14081" width="29.85546875" style="15" bestFit="1" customWidth="1"/>
    <col min="14082" max="14082" width="11.85546875" style="15" bestFit="1" customWidth="1"/>
    <col min="14083" max="14083" width="11.85546875" style="15" customWidth="1"/>
    <col min="14084" max="14084" width="4.5703125" style="15" bestFit="1" customWidth="1"/>
    <col min="14085" max="14086" width="5.140625" style="15" bestFit="1" customWidth="1"/>
    <col min="14087" max="14087" width="4.5703125" style="15" bestFit="1" customWidth="1"/>
    <col min="14088" max="14088" width="5.140625" style="15" bestFit="1" customWidth="1"/>
    <col min="14089" max="14089" width="4" style="15" bestFit="1" customWidth="1"/>
    <col min="14090" max="14093" width="4.5703125" style="15" bestFit="1" customWidth="1"/>
    <col min="14094" max="14094" width="14.42578125" style="15" bestFit="1" customWidth="1"/>
    <col min="14095" max="14095" width="13.42578125" style="15" bestFit="1" customWidth="1"/>
    <col min="14096" max="14096" width="9.140625" style="15"/>
    <col min="14097" max="14097" width="49" style="15" bestFit="1" customWidth="1"/>
    <col min="14098" max="14098" width="11.85546875" style="15" bestFit="1" customWidth="1"/>
    <col min="14099" max="14103" width="4.5703125" style="15" bestFit="1" customWidth="1"/>
    <col min="14104" max="14104" width="4" style="15" bestFit="1" customWidth="1"/>
    <col min="14105" max="14108" width="4.5703125" style="15" bestFit="1" customWidth="1"/>
    <col min="14109" max="14109" width="14.42578125" style="15" bestFit="1" customWidth="1"/>
    <col min="14110" max="14110" width="13.42578125" style="15" bestFit="1" customWidth="1"/>
    <col min="14111" max="14336" width="9.140625" style="15"/>
    <col min="14337" max="14337" width="29.85546875" style="15" bestFit="1" customWidth="1"/>
    <col min="14338" max="14338" width="11.85546875" style="15" bestFit="1" customWidth="1"/>
    <col min="14339" max="14339" width="11.85546875" style="15" customWidth="1"/>
    <col min="14340" max="14340" width="4.5703125" style="15" bestFit="1" customWidth="1"/>
    <col min="14341" max="14342" width="5.140625" style="15" bestFit="1" customWidth="1"/>
    <col min="14343" max="14343" width="4.5703125" style="15" bestFit="1" customWidth="1"/>
    <col min="14344" max="14344" width="5.140625" style="15" bestFit="1" customWidth="1"/>
    <col min="14345" max="14345" width="4" style="15" bestFit="1" customWidth="1"/>
    <col min="14346" max="14349" width="4.5703125" style="15" bestFit="1" customWidth="1"/>
    <col min="14350" max="14350" width="14.42578125" style="15" bestFit="1" customWidth="1"/>
    <col min="14351" max="14351" width="13.42578125" style="15" bestFit="1" customWidth="1"/>
    <col min="14352" max="14352" width="9.140625" style="15"/>
    <col min="14353" max="14353" width="49" style="15" bestFit="1" customWidth="1"/>
    <col min="14354" max="14354" width="11.85546875" style="15" bestFit="1" customWidth="1"/>
    <col min="14355" max="14359" width="4.5703125" style="15" bestFit="1" customWidth="1"/>
    <col min="14360" max="14360" width="4" style="15" bestFit="1" customWidth="1"/>
    <col min="14361" max="14364" width="4.5703125" style="15" bestFit="1" customWidth="1"/>
    <col min="14365" max="14365" width="14.42578125" style="15" bestFit="1" customWidth="1"/>
    <col min="14366" max="14366" width="13.42578125" style="15" bestFit="1" customWidth="1"/>
    <col min="14367" max="14592" width="9.140625" style="15"/>
    <col min="14593" max="14593" width="29.85546875" style="15" bestFit="1" customWidth="1"/>
    <col min="14594" max="14594" width="11.85546875" style="15" bestFit="1" customWidth="1"/>
    <col min="14595" max="14595" width="11.85546875" style="15" customWidth="1"/>
    <col min="14596" max="14596" width="4.5703125" style="15" bestFit="1" customWidth="1"/>
    <col min="14597" max="14598" width="5.140625" style="15" bestFit="1" customWidth="1"/>
    <col min="14599" max="14599" width="4.5703125" style="15" bestFit="1" customWidth="1"/>
    <col min="14600" max="14600" width="5.140625" style="15" bestFit="1" customWidth="1"/>
    <col min="14601" max="14601" width="4" style="15" bestFit="1" customWidth="1"/>
    <col min="14602" max="14605" width="4.5703125" style="15" bestFit="1" customWidth="1"/>
    <col min="14606" max="14606" width="14.42578125" style="15" bestFit="1" customWidth="1"/>
    <col min="14607" max="14607" width="13.42578125" style="15" bestFit="1" customWidth="1"/>
    <col min="14608" max="14608" width="9.140625" style="15"/>
    <col min="14609" max="14609" width="49" style="15" bestFit="1" customWidth="1"/>
    <col min="14610" max="14610" width="11.85546875" style="15" bestFit="1" customWidth="1"/>
    <col min="14611" max="14615" width="4.5703125" style="15" bestFit="1" customWidth="1"/>
    <col min="14616" max="14616" width="4" style="15" bestFit="1" customWidth="1"/>
    <col min="14617" max="14620" width="4.5703125" style="15" bestFit="1" customWidth="1"/>
    <col min="14621" max="14621" width="14.42578125" style="15" bestFit="1" customWidth="1"/>
    <col min="14622" max="14622" width="13.42578125" style="15" bestFit="1" customWidth="1"/>
    <col min="14623" max="14848" width="9.140625" style="15"/>
    <col min="14849" max="14849" width="29.85546875" style="15" bestFit="1" customWidth="1"/>
    <col min="14850" max="14850" width="11.85546875" style="15" bestFit="1" customWidth="1"/>
    <col min="14851" max="14851" width="11.85546875" style="15" customWidth="1"/>
    <col min="14852" max="14852" width="4.5703125" style="15" bestFit="1" customWidth="1"/>
    <col min="14853" max="14854" width="5.140625" style="15" bestFit="1" customWidth="1"/>
    <col min="14855" max="14855" width="4.5703125" style="15" bestFit="1" customWidth="1"/>
    <col min="14856" max="14856" width="5.140625" style="15" bestFit="1" customWidth="1"/>
    <col min="14857" max="14857" width="4" style="15" bestFit="1" customWidth="1"/>
    <col min="14858" max="14861" width="4.5703125" style="15" bestFit="1" customWidth="1"/>
    <col min="14862" max="14862" width="14.42578125" style="15" bestFit="1" customWidth="1"/>
    <col min="14863" max="14863" width="13.42578125" style="15" bestFit="1" customWidth="1"/>
    <col min="14864" max="14864" width="9.140625" style="15"/>
    <col min="14865" max="14865" width="49" style="15" bestFit="1" customWidth="1"/>
    <col min="14866" max="14866" width="11.85546875" style="15" bestFit="1" customWidth="1"/>
    <col min="14867" max="14871" width="4.5703125" style="15" bestFit="1" customWidth="1"/>
    <col min="14872" max="14872" width="4" style="15" bestFit="1" customWidth="1"/>
    <col min="14873" max="14876" width="4.5703125" style="15" bestFit="1" customWidth="1"/>
    <col min="14877" max="14877" width="14.42578125" style="15" bestFit="1" customWidth="1"/>
    <col min="14878" max="14878" width="13.42578125" style="15" bestFit="1" customWidth="1"/>
    <col min="14879" max="15104" width="9.140625" style="15"/>
    <col min="15105" max="15105" width="29.85546875" style="15" bestFit="1" customWidth="1"/>
    <col min="15106" max="15106" width="11.85546875" style="15" bestFit="1" customWidth="1"/>
    <col min="15107" max="15107" width="11.85546875" style="15" customWidth="1"/>
    <col min="15108" max="15108" width="4.5703125" style="15" bestFit="1" customWidth="1"/>
    <col min="15109" max="15110" width="5.140625" style="15" bestFit="1" customWidth="1"/>
    <col min="15111" max="15111" width="4.5703125" style="15" bestFit="1" customWidth="1"/>
    <col min="15112" max="15112" width="5.140625" style="15" bestFit="1" customWidth="1"/>
    <col min="15113" max="15113" width="4" style="15" bestFit="1" customWidth="1"/>
    <col min="15114" max="15117" width="4.5703125" style="15" bestFit="1" customWidth="1"/>
    <col min="15118" max="15118" width="14.42578125" style="15" bestFit="1" customWidth="1"/>
    <col min="15119" max="15119" width="13.42578125" style="15" bestFit="1" customWidth="1"/>
    <col min="15120" max="15120" width="9.140625" style="15"/>
    <col min="15121" max="15121" width="49" style="15" bestFit="1" customWidth="1"/>
    <col min="15122" max="15122" width="11.85546875" style="15" bestFit="1" customWidth="1"/>
    <col min="15123" max="15127" width="4.5703125" style="15" bestFit="1" customWidth="1"/>
    <col min="15128" max="15128" width="4" style="15" bestFit="1" customWidth="1"/>
    <col min="15129" max="15132" width="4.5703125" style="15" bestFit="1" customWidth="1"/>
    <col min="15133" max="15133" width="14.42578125" style="15" bestFit="1" customWidth="1"/>
    <col min="15134" max="15134" width="13.42578125" style="15" bestFit="1" customWidth="1"/>
    <col min="15135" max="15360" width="9.140625" style="15"/>
    <col min="15361" max="15361" width="29.85546875" style="15" bestFit="1" customWidth="1"/>
    <col min="15362" max="15362" width="11.85546875" style="15" bestFit="1" customWidth="1"/>
    <col min="15363" max="15363" width="11.85546875" style="15" customWidth="1"/>
    <col min="15364" max="15364" width="4.5703125" style="15" bestFit="1" customWidth="1"/>
    <col min="15365" max="15366" width="5.140625" style="15" bestFit="1" customWidth="1"/>
    <col min="15367" max="15367" width="4.5703125" style="15" bestFit="1" customWidth="1"/>
    <col min="15368" max="15368" width="5.140625" style="15" bestFit="1" customWidth="1"/>
    <col min="15369" max="15369" width="4" style="15" bestFit="1" customWidth="1"/>
    <col min="15370" max="15373" width="4.5703125" style="15" bestFit="1" customWidth="1"/>
    <col min="15374" max="15374" width="14.42578125" style="15" bestFit="1" customWidth="1"/>
    <col min="15375" max="15375" width="13.42578125" style="15" bestFit="1" customWidth="1"/>
    <col min="15376" max="15376" width="9.140625" style="15"/>
    <col min="15377" max="15377" width="49" style="15" bestFit="1" customWidth="1"/>
    <col min="15378" max="15378" width="11.85546875" style="15" bestFit="1" customWidth="1"/>
    <col min="15379" max="15383" width="4.5703125" style="15" bestFit="1" customWidth="1"/>
    <col min="15384" max="15384" width="4" style="15" bestFit="1" customWidth="1"/>
    <col min="15385" max="15388" width="4.5703125" style="15" bestFit="1" customWidth="1"/>
    <col min="15389" max="15389" width="14.42578125" style="15" bestFit="1" customWidth="1"/>
    <col min="15390" max="15390" width="13.42578125" style="15" bestFit="1" customWidth="1"/>
    <col min="15391" max="15616" width="9.140625" style="15"/>
    <col min="15617" max="15617" width="29.85546875" style="15" bestFit="1" customWidth="1"/>
    <col min="15618" max="15618" width="11.85546875" style="15" bestFit="1" customWidth="1"/>
    <col min="15619" max="15619" width="11.85546875" style="15" customWidth="1"/>
    <col min="15620" max="15620" width="4.5703125" style="15" bestFit="1" customWidth="1"/>
    <col min="15621" max="15622" width="5.140625" style="15" bestFit="1" customWidth="1"/>
    <col min="15623" max="15623" width="4.5703125" style="15" bestFit="1" customWidth="1"/>
    <col min="15624" max="15624" width="5.140625" style="15" bestFit="1" customWidth="1"/>
    <col min="15625" max="15625" width="4" style="15" bestFit="1" customWidth="1"/>
    <col min="15626" max="15629" width="4.5703125" style="15" bestFit="1" customWidth="1"/>
    <col min="15630" max="15630" width="14.42578125" style="15" bestFit="1" customWidth="1"/>
    <col min="15631" max="15631" width="13.42578125" style="15" bestFit="1" customWidth="1"/>
    <col min="15632" max="15632" width="9.140625" style="15"/>
    <col min="15633" max="15633" width="49" style="15" bestFit="1" customWidth="1"/>
    <col min="15634" max="15634" width="11.85546875" style="15" bestFit="1" customWidth="1"/>
    <col min="15635" max="15639" width="4.5703125" style="15" bestFit="1" customWidth="1"/>
    <col min="15640" max="15640" width="4" style="15" bestFit="1" customWidth="1"/>
    <col min="15641" max="15644" width="4.5703125" style="15" bestFit="1" customWidth="1"/>
    <col min="15645" max="15645" width="14.42578125" style="15" bestFit="1" customWidth="1"/>
    <col min="15646" max="15646" width="13.42578125" style="15" bestFit="1" customWidth="1"/>
    <col min="15647" max="15872" width="9.140625" style="15"/>
    <col min="15873" max="15873" width="29.85546875" style="15" bestFit="1" customWidth="1"/>
    <col min="15874" max="15874" width="11.85546875" style="15" bestFit="1" customWidth="1"/>
    <col min="15875" max="15875" width="11.85546875" style="15" customWidth="1"/>
    <col min="15876" max="15876" width="4.5703125" style="15" bestFit="1" customWidth="1"/>
    <col min="15877" max="15878" width="5.140625" style="15" bestFit="1" customWidth="1"/>
    <col min="15879" max="15879" width="4.5703125" style="15" bestFit="1" customWidth="1"/>
    <col min="15880" max="15880" width="5.140625" style="15" bestFit="1" customWidth="1"/>
    <col min="15881" max="15881" width="4" style="15" bestFit="1" customWidth="1"/>
    <col min="15882" max="15885" width="4.5703125" style="15" bestFit="1" customWidth="1"/>
    <col min="15886" max="15886" width="14.42578125" style="15" bestFit="1" customWidth="1"/>
    <col min="15887" max="15887" width="13.42578125" style="15" bestFit="1" customWidth="1"/>
    <col min="15888" max="15888" width="9.140625" style="15"/>
    <col min="15889" max="15889" width="49" style="15" bestFit="1" customWidth="1"/>
    <col min="15890" max="15890" width="11.85546875" style="15" bestFit="1" customWidth="1"/>
    <col min="15891" max="15895" width="4.5703125" style="15" bestFit="1" customWidth="1"/>
    <col min="15896" max="15896" width="4" style="15" bestFit="1" customWidth="1"/>
    <col min="15897" max="15900" width="4.5703125" style="15" bestFit="1" customWidth="1"/>
    <col min="15901" max="15901" width="14.42578125" style="15" bestFit="1" customWidth="1"/>
    <col min="15902" max="15902" width="13.42578125" style="15" bestFit="1" customWidth="1"/>
    <col min="15903" max="16128" width="9.140625" style="15"/>
    <col min="16129" max="16129" width="29.85546875" style="15" bestFit="1" customWidth="1"/>
    <col min="16130" max="16130" width="11.85546875" style="15" bestFit="1" customWidth="1"/>
    <col min="16131" max="16131" width="11.85546875" style="15" customWidth="1"/>
    <col min="16132" max="16132" width="4.5703125" style="15" bestFit="1" customWidth="1"/>
    <col min="16133" max="16134" width="5.140625" style="15" bestFit="1" customWidth="1"/>
    <col min="16135" max="16135" width="4.5703125" style="15" bestFit="1" customWidth="1"/>
    <col min="16136" max="16136" width="5.140625" style="15" bestFit="1" customWidth="1"/>
    <col min="16137" max="16137" width="4" style="15" bestFit="1" customWidth="1"/>
    <col min="16138" max="16141" width="4.5703125" style="15" bestFit="1" customWidth="1"/>
    <col min="16142" max="16142" width="14.42578125" style="15" bestFit="1" customWidth="1"/>
    <col min="16143" max="16143" width="13.42578125" style="15" bestFit="1" customWidth="1"/>
    <col min="16144" max="16144" width="9.140625" style="15"/>
    <col min="16145" max="16145" width="49" style="15" bestFit="1" customWidth="1"/>
    <col min="16146" max="16146" width="11.85546875" style="15" bestFit="1" customWidth="1"/>
    <col min="16147" max="16151" width="4.5703125" style="15" bestFit="1" customWidth="1"/>
    <col min="16152" max="16152" width="4" style="15" bestFit="1" customWidth="1"/>
    <col min="16153" max="16156" width="4.5703125" style="15" bestFit="1" customWidth="1"/>
    <col min="16157" max="16157" width="14.42578125" style="15" bestFit="1" customWidth="1"/>
    <col min="16158" max="16158" width="13.42578125" style="15" bestFit="1" customWidth="1"/>
    <col min="16159" max="16384" width="9.140625" style="15"/>
  </cols>
  <sheetData>
    <row r="1" spans="1:30" x14ac:dyDescent="0.2">
      <c r="A1" s="22"/>
      <c r="B1" s="21"/>
      <c r="C1" s="21"/>
      <c r="D1" s="384" t="s">
        <v>284</v>
      </c>
      <c r="E1" s="384"/>
      <c r="F1" s="384"/>
      <c r="G1" s="384"/>
      <c r="H1" s="384"/>
      <c r="I1" s="385" t="s">
        <v>285</v>
      </c>
      <c r="J1" s="385"/>
      <c r="K1" s="385"/>
      <c r="L1" s="385"/>
      <c r="M1" s="385"/>
      <c r="N1" s="21"/>
      <c r="O1" s="21"/>
      <c r="Q1" s="22"/>
      <c r="R1" s="21"/>
      <c r="S1" s="384" t="s">
        <v>284</v>
      </c>
      <c r="T1" s="384"/>
      <c r="U1" s="384"/>
      <c r="V1" s="384"/>
      <c r="W1" s="384"/>
      <c r="X1" s="385" t="s">
        <v>285</v>
      </c>
      <c r="Y1" s="385"/>
      <c r="Z1" s="385"/>
      <c r="AA1" s="385"/>
      <c r="AB1" s="385"/>
      <c r="AC1" s="21"/>
      <c r="AD1" s="21"/>
    </row>
    <row r="2" spans="1:30" x14ac:dyDescent="0.2">
      <c r="A2" s="23" t="s">
        <v>286</v>
      </c>
      <c r="B2" s="20" t="s">
        <v>287</v>
      </c>
      <c r="C2" s="20" t="s">
        <v>288</v>
      </c>
      <c r="D2" s="24" t="s">
        <v>289</v>
      </c>
      <c r="E2" s="24" t="s">
        <v>290</v>
      </c>
      <c r="F2" s="24" t="s">
        <v>291</v>
      </c>
      <c r="G2" s="24" t="s">
        <v>292</v>
      </c>
      <c r="H2" s="24" t="s">
        <v>293</v>
      </c>
      <c r="I2" s="25" t="s">
        <v>289</v>
      </c>
      <c r="J2" s="25" t="s">
        <v>290</v>
      </c>
      <c r="K2" s="25" t="s">
        <v>291</v>
      </c>
      <c r="L2" s="25" t="s">
        <v>292</v>
      </c>
      <c r="M2" s="25" t="s">
        <v>293</v>
      </c>
      <c r="N2" s="20" t="s">
        <v>294</v>
      </c>
      <c r="O2" s="20" t="s">
        <v>295</v>
      </c>
      <c r="Q2" s="23" t="s">
        <v>296</v>
      </c>
      <c r="R2" s="20" t="s">
        <v>287</v>
      </c>
      <c r="S2" s="24" t="s">
        <v>289</v>
      </c>
      <c r="T2" s="24" t="s">
        <v>290</v>
      </c>
      <c r="U2" s="24" t="s">
        <v>291</v>
      </c>
      <c r="V2" s="24" t="s">
        <v>292</v>
      </c>
      <c r="W2" s="24" t="s">
        <v>293</v>
      </c>
      <c r="X2" s="25" t="s">
        <v>289</v>
      </c>
      <c r="Y2" s="25" t="s">
        <v>290</v>
      </c>
      <c r="Z2" s="25" t="s">
        <v>291</v>
      </c>
      <c r="AA2" s="25" t="s">
        <v>292</v>
      </c>
      <c r="AB2" s="25" t="s">
        <v>293</v>
      </c>
      <c r="AC2" s="20" t="s">
        <v>294</v>
      </c>
      <c r="AD2" s="20" t="s">
        <v>295</v>
      </c>
    </row>
    <row r="3" spans="1:30" x14ac:dyDescent="0.2">
      <c r="A3" s="22" t="s">
        <v>297</v>
      </c>
      <c r="B3" s="21" t="s">
        <v>298</v>
      </c>
      <c r="C3" s="21">
        <v>1</v>
      </c>
      <c r="D3" s="26"/>
      <c r="E3" s="26"/>
      <c r="F3" s="26"/>
      <c r="G3" s="26"/>
      <c r="H3" s="26"/>
      <c r="I3" s="27"/>
      <c r="J3" s="27"/>
      <c r="K3" s="27"/>
      <c r="L3" s="27"/>
      <c r="M3" s="27"/>
      <c r="N3" s="21">
        <f>AC19</f>
        <v>270</v>
      </c>
      <c r="O3" s="21">
        <f>AD19</f>
        <v>90</v>
      </c>
      <c r="Q3" s="22" t="s">
        <v>62</v>
      </c>
      <c r="R3" s="21" t="s">
        <v>299</v>
      </c>
      <c r="S3" s="26">
        <v>0</v>
      </c>
      <c r="T3" s="26">
        <v>0.04</v>
      </c>
      <c r="U3" s="26">
        <v>0.06</v>
      </c>
      <c r="V3" s="26">
        <v>0.1</v>
      </c>
      <c r="W3" s="26">
        <v>0.13</v>
      </c>
      <c r="X3" s="27"/>
      <c r="Y3" s="27"/>
      <c r="Z3" s="27"/>
      <c r="AA3" s="27"/>
      <c r="AB3" s="27"/>
      <c r="AC3" s="21"/>
      <c r="AD3" s="21"/>
    </row>
    <row r="4" spans="1:30" x14ac:dyDescent="0.2">
      <c r="A4" s="22" t="s">
        <v>300</v>
      </c>
      <c r="B4" s="21" t="s">
        <v>298</v>
      </c>
      <c r="C4" s="21"/>
      <c r="D4" s="26">
        <f>S18</f>
        <v>0</v>
      </c>
      <c r="E4" s="26">
        <v>0</v>
      </c>
      <c r="F4" s="26">
        <v>0.1</v>
      </c>
      <c r="G4" s="26">
        <v>0.15</v>
      </c>
      <c r="H4" s="26">
        <v>0.2</v>
      </c>
      <c r="I4" s="27">
        <f>X18</f>
        <v>0</v>
      </c>
      <c r="J4" s="27">
        <f t="shared" ref="J4:M4" si="0">Y18</f>
        <v>0</v>
      </c>
      <c r="K4" s="27">
        <f t="shared" si="0"/>
        <v>2.5</v>
      </c>
      <c r="L4" s="27">
        <f t="shared" si="0"/>
        <v>3.75</v>
      </c>
      <c r="M4" s="27">
        <f t="shared" si="0"/>
        <v>5</v>
      </c>
      <c r="N4" s="21"/>
      <c r="O4" s="21"/>
      <c r="Q4" s="22" t="s">
        <v>64</v>
      </c>
      <c r="R4" s="21" t="s">
        <v>299</v>
      </c>
      <c r="S4" s="26"/>
      <c r="T4" s="26"/>
      <c r="U4" s="26"/>
      <c r="V4" s="26"/>
      <c r="W4" s="26"/>
      <c r="X4" s="27">
        <v>0</v>
      </c>
      <c r="Y4" s="27">
        <v>0.7</v>
      </c>
      <c r="Z4" s="27">
        <v>0.7</v>
      </c>
      <c r="AA4" s="27">
        <v>0.8</v>
      </c>
      <c r="AB4" s="27">
        <v>1</v>
      </c>
      <c r="AC4" s="21"/>
      <c r="AD4" s="21"/>
    </row>
    <row r="5" spans="1:30" x14ac:dyDescent="0.2">
      <c r="A5" s="22" t="s">
        <v>301</v>
      </c>
      <c r="B5" s="21" t="s">
        <v>298</v>
      </c>
      <c r="C5" s="21"/>
      <c r="D5" s="26"/>
      <c r="E5" s="26"/>
      <c r="F5" s="26"/>
      <c r="G5" s="26"/>
      <c r="H5" s="26"/>
      <c r="I5" s="27"/>
      <c r="J5" s="27"/>
      <c r="K5" s="27"/>
      <c r="L5" s="27"/>
      <c r="M5" s="27"/>
      <c r="N5" s="21"/>
      <c r="O5" s="21">
        <f>AD22</f>
        <v>400</v>
      </c>
      <c r="Q5" s="22" t="s">
        <v>65</v>
      </c>
      <c r="R5" s="21" t="s">
        <v>299</v>
      </c>
      <c r="S5" s="26">
        <v>0</v>
      </c>
      <c r="T5" s="26">
        <v>0.14000000000000001</v>
      </c>
      <c r="U5" s="26">
        <v>0.14000000000000001</v>
      </c>
      <c r="V5" s="26">
        <v>0.16</v>
      </c>
      <c r="W5" s="26">
        <v>0.2</v>
      </c>
      <c r="X5" s="27"/>
      <c r="Y5" s="27"/>
      <c r="Z5" s="27"/>
      <c r="AA5" s="27"/>
      <c r="AB5" s="27"/>
      <c r="AC5" s="21"/>
      <c r="AD5" s="21"/>
    </row>
    <row r="6" spans="1:30" ht="38.25" x14ac:dyDescent="0.2">
      <c r="A6" s="22" t="s">
        <v>302</v>
      </c>
      <c r="B6" s="21" t="s">
        <v>298</v>
      </c>
      <c r="C6" s="21"/>
      <c r="D6" s="26">
        <f>S20</f>
        <v>0</v>
      </c>
      <c r="E6" s="26">
        <f t="shared" ref="E6:H6" si="1">T20</f>
        <v>0.75</v>
      </c>
      <c r="F6" s="26">
        <f t="shared" si="1"/>
        <v>0.75</v>
      </c>
      <c r="G6" s="26">
        <f t="shared" si="1"/>
        <v>0.75</v>
      </c>
      <c r="H6" s="26">
        <f t="shared" si="1"/>
        <v>0.75</v>
      </c>
      <c r="I6" s="27"/>
      <c r="J6" s="27"/>
      <c r="K6" s="27"/>
      <c r="L6" s="27"/>
      <c r="M6" s="27"/>
      <c r="N6" s="21"/>
      <c r="O6" s="21"/>
      <c r="Q6" s="22" t="s">
        <v>66</v>
      </c>
      <c r="R6" s="21" t="s">
        <v>299</v>
      </c>
      <c r="S6" s="26">
        <v>0</v>
      </c>
      <c r="T6" s="26">
        <v>0.14000000000000001</v>
      </c>
      <c r="U6" s="26">
        <v>0.14000000000000001</v>
      </c>
      <c r="V6" s="26">
        <v>0.16</v>
      </c>
      <c r="W6" s="26">
        <v>0.2</v>
      </c>
      <c r="X6" s="27"/>
      <c r="Y6" s="27"/>
      <c r="Z6" s="27"/>
      <c r="AA6" s="27"/>
      <c r="AB6" s="27"/>
      <c r="AC6" s="21"/>
      <c r="AD6" s="21"/>
    </row>
    <row r="7" spans="1:30" x14ac:dyDescent="0.2">
      <c r="A7" s="22" t="s">
        <v>73</v>
      </c>
      <c r="B7" s="21" t="s">
        <v>299</v>
      </c>
      <c r="C7" s="21"/>
      <c r="D7" s="26">
        <f>S13</f>
        <v>0</v>
      </c>
      <c r="E7" s="26">
        <f t="shared" ref="E7:H7" si="2">T13</f>
        <v>0.25</v>
      </c>
      <c r="F7" s="26">
        <f t="shared" si="2"/>
        <v>0.25</v>
      </c>
      <c r="G7" s="26">
        <f t="shared" si="2"/>
        <v>0.4</v>
      </c>
      <c r="H7" s="26">
        <f t="shared" si="2"/>
        <v>0.4</v>
      </c>
      <c r="I7" s="27"/>
      <c r="J7" s="27"/>
      <c r="K7" s="27"/>
      <c r="L7" s="27"/>
      <c r="M7" s="27"/>
      <c r="N7" s="21"/>
      <c r="O7" s="21"/>
      <c r="Q7" s="22" t="s">
        <v>67</v>
      </c>
      <c r="R7" s="21" t="s">
        <v>299</v>
      </c>
      <c r="S7" s="26">
        <v>0</v>
      </c>
      <c r="T7" s="26">
        <v>0.14000000000000001</v>
      </c>
      <c r="U7" s="26">
        <v>0.14000000000000001</v>
      </c>
      <c r="V7" s="26">
        <v>0.16</v>
      </c>
      <c r="W7" s="26">
        <v>0.2</v>
      </c>
      <c r="X7" s="27"/>
      <c r="Y7" s="27"/>
      <c r="Z7" s="27"/>
      <c r="AA7" s="27"/>
      <c r="AB7" s="27"/>
      <c r="AC7" s="21"/>
      <c r="AD7" s="21"/>
    </row>
    <row r="8" spans="1:30" x14ac:dyDescent="0.2">
      <c r="A8" s="22" t="s">
        <v>303</v>
      </c>
      <c r="B8" s="21" t="s">
        <v>299</v>
      </c>
      <c r="C8" s="21"/>
      <c r="D8" s="26">
        <f>S10</f>
        <v>0</v>
      </c>
      <c r="E8" s="26">
        <f t="shared" ref="E8:H8" si="3">T10</f>
        <v>0.04</v>
      </c>
      <c r="F8" s="26">
        <f t="shared" si="3"/>
        <v>0.05</v>
      </c>
      <c r="G8" s="26">
        <f t="shared" si="3"/>
        <v>0.05</v>
      </c>
      <c r="H8" s="26">
        <f t="shared" si="3"/>
        <v>0.05</v>
      </c>
      <c r="I8" s="27"/>
      <c r="J8" s="27"/>
      <c r="K8" s="27"/>
      <c r="L8" s="27"/>
      <c r="M8" s="27"/>
      <c r="N8" s="21"/>
      <c r="O8" s="21"/>
      <c r="Q8" s="22" t="s">
        <v>68</v>
      </c>
      <c r="R8" s="21" t="s">
        <v>299</v>
      </c>
      <c r="S8" s="26">
        <v>0</v>
      </c>
      <c r="T8" s="26">
        <v>0.75</v>
      </c>
      <c r="U8" s="26">
        <v>1</v>
      </c>
      <c r="V8" s="26">
        <v>1</v>
      </c>
      <c r="W8" s="26">
        <v>1</v>
      </c>
      <c r="X8" s="27"/>
      <c r="Y8" s="27"/>
      <c r="Z8" s="27"/>
      <c r="AA8" s="27"/>
      <c r="AB8" s="27"/>
      <c r="AC8" s="21"/>
      <c r="AD8" s="21"/>
    </row>
    <row r="9" spans="1:30" ht="25.5" x14ac:dyDescent="0.2">
      <c r="A9" s="22" t="s">
        <v>304</v>
      </c>
      <c r="B9" s="21" t="s">
        <v>298</v>
      </c>
      <c r="C9" s="21"/>
      <c r="D9" s="26">
        <f>S21</f>
        <v>0</v>
      </c>
      <c r="E9" s="26">
        <f t="shared" ref="E9:H9" si="4">T21</f>
        <v>0.5</v>
      </c>
      <c r="F9" s="26">
        <f t="shared" si="4"/>
        <v>0.5</v>
      </c>
      <c r="G9" s="26">
        <f t="shared" si="4"/>
        <v>0.5</v>
      </c>
      <c r="H9" s="26">
        <f t="shared" si="4"/>
        <v>0.5</v>
      </c>
      <c r="I9" s="27"/>
      <c r="J9" s="27"/>
      <c r="K9" s="27"/>
      <c r="L9" s="27"/>
      <c r="M9" s="27"/>
      <c r="N9" s="21"/>
      <c r="O9" s="21"/>
      <c r="Q9" s="22" t="s">
        <v>69</v>
      </c>
      <c r="R9" s="21" t="s">
        <v>299</v>
      </c>
      <c r="S9" s="26">
        <v>0</v>
      </c>
      <c r="T9" s="26">
        <v>0.15</v>
      </c>
      <c r="U9" s="26">
        <v>0.15</v>
      </c>
      <c r="V9" s="26">
        <v>0.2</v>
      </c>
      <c r="W9" s="26">
        <v>0.3</v>
      </c>
      <c r="X9" s="27"/>
      <c r="Y9" s="27"/>
      <c r="Z9" s="27"/>
      <c r="AA9" s="27"/>
      <c r="AB9" s="27"/>
      <c r="AC9" s="21"/>
      <c r="AD9" s="21"/>
    </row>
    <row r="10" spans="1:30" x14ac:dyDescent="0.2">
      <c r="A10" s="22" t="s">
        <v>548</v>
      </c>
      <c r="B10" s="21" t="s">
        <v>299</v>
      </c>
      <c r="C10" s="21"/>
      <c r="D10" s="26">
        <f>S14</f>
        <v>0</v>
      </c>
      <c r="E10" s="26">
        <f t="shared" ref="E10:H10" si="5">T14</f>
        <v>0.5</v>
      </c>
      <c r="F10" s="26">
        <f t="shared" si="5"/>
        <v>0.5</v>
      </c>
      <c r="G10" s="26">
        <f t="shared" si="5"/>
        <v>0.5</v>
      </c>
      <c r="H10" s="26">
        <f t="shared" si="5"/>
        <v>0.5</v>
      </c>
      <c r="I10" s="27"/>
      <c r="J10" s="27"/>
      <c r="K10" s="27"/>
      <c r="L10" s="27"/>
      <c r="M10" s="27"/>
      <c r="N10" s="21"/>
      <c r="O10" s="21"/>
      <c r="Q10" s="22" t="s">
        <v>303</v>
      </c>
      <c r="R10" s="21" t="s">
        <v>299</v>
      </c>
      <c r="S10" s="26">
        <v>0</v>
      </c>
      <c r="T10" s="26">
        <v>0.04</v>
      </c>
      <c r="U10" s="26">
        <v>0.05</v>
      </c>
      <c r="V10" s="26">
        <v>0.05</v>
      </c>
      <c r="W10" s="26">
        <v>0.05</v>
      </c>
      <c r="X10" s="27"/>
      <c r="Y10" s="27"/>
      <c r="Z10" s="27"/>
      <c r="AA10" s="27"/>
      <c r="AB10" s="27"/>
      <c r="AC10" s="21"/>
      <c r="AD10" s="21"/>
    </row>
    <row r="11" spans="1:30" x14ac:dyDescent="0.2">
      <c r="A11" s="22" t="s">
        <v>72</v>
      </c>
      <c r="B11" s="21" t="s">
        <v>299</v>
      </c>
      <c r="C11" s="21"/>
      <c r="D11" s="26"/>
      <c r="E11" s="26"/>
      <c r="F11" s="26"/>
      <c r="G11" s="26"/>
      <c r="H11" s="26"/>
      <c r="I11" s="27">
        <f>X12</f>
        <v>0</v>
      </c>
      <c r="J11" s="27">
        <f t="shared" ref="J11:M11" si="6">Y12</f>
        <v>20</v>
      </c>
      <c r="K11" s="27">
        <f t="shared" si="6"/>
        <v>20</v>
      </c>
      <c r="L11" s="27">
        <f t="shared" si="6"/>
        <v>20</v>
      </c>
      <c r="M11" s="27">
        <f t="shared" si="6"/>
        <v>20</v>
      </c>
      <c r="N11" s="21"/>
      <c r="O11" s="21"/>
      <c r="Q11" s="22" t="s">
        <v>71</v>
      </c>
      <c r="R11" s="21" t="s">
        <v>299</v>
      </c>
      <c r="S11" s="26"/>
      <c r="T11" s="26"/>
      <c r="U11" s="26"/>
      <c r="V11" s="26"/>
      <c r="W11" s="26"/>
      <c r="X11" s="27">
        <v>0</v>
      </c>
      <c r="Y11" s="27">
        <v>20</v>
      </c>
      <c r="Z11" s="27">
        <v>20</v>
      </c>
      <c r="AA11" s="27">
        <v>30</v>
      </c>
      <c r="AB11" s="27">
        <v>30</v>
      </c>
      <c r="AC11" s="21"/>
      <c r="AD11" s="21"/>
    </row>
    <row r="12" spans="1:30" x14ac:dyDescent="0.2">
      <c r="A12" s="22" t="s">
        <v>305</v>
      </c>
      <c r="B12" s="21" t="s">
        <v>299</v>
      </c>
      <c r="C12" s="21"/>
      <c r="D12" s="26">
        <f>S16</f>
        <v>0</v>
      </c>
      <c r="E12" s="26">
        <f t="shared" ref="E12:H12" si="7">T16</f>
        <v>0.25</v>
      </c>
      <c r="F12" s="26">
        <f t="shared" si="7"/>
        <v>0.25</v>
      </c>
      <c r="G12" s="26">
        <f t="shared" si="7"/>
        <v>0.5</v>
      </c>
      <c r="H12" s="26">
        <f t="shared" si="7"/>
        <v>0.7</v>
      </c>
      <c r="I12" s="27"/>
      <c r="J12" s="27"/>
      <c r="K12" s="27"/>
      <c r="L12" s="27"/>
      <c r="M12" s="27"/>
      <c r="N12" s="21"/>
      <c r="O12" s="21"/>
      <c r="Q12" s="22" t="s">
        <v>72</v>
      </c>
      <c r="R12" s="21" t="s">
        <v>299</v>
      </c>
      <c r="S12" s="26"/>
      <c r="T12" s="26"/>
      <c r="U12" s="26"/>
      <c r="V12" s="26"/>
      <c r="W12" s="26"/>
      <c r="X12" s="27">
        <v>0</v>
      </c>
      <c r="Y12" s="27">
        <v>20</v>
      </c>
      <c r="Z12" s="27">
        <v>20</v>
      </c>
      <c r="AA12" s="27">
        <v>20</v>
      </c>
      <c r="AB12" s="27">
        <v>20</v>
      </c>
      <c r="AC12" s="21"/>
      <c r="AD12" s="21"/>
    </row>
    <row r="13" spans="1:30" ht="25.5" x14ac:dyDescent="0.2">
      <c r="A13" s="22" t="s">
        <v>87</v>
      </c>
      <c r="B13" s="21" t="s">
        <v>298</v>
      </c>
      <c r="C13" s="21"/>
      <c r="D13" s="26"/>
      <c r="E13" s="26"/>
      <c r="F13" s="26"/>
      <c r="G13" s="26"/>
      <c r="H13" s="26"/>
      <c r="I13" s="27"/>
      <c r="J13" s="27"/>
      <c r="K13" s="27"/>
      <c r="L13" s="27"/>
      <c r="M13" s="27"/>
      <c r="N13" s="21"/>
      <c r="O13" s="21">
        <f>AD23</f>
        <v>800</v>
      </c>
      <c r="Q13" s="22" t="s">
        <v>73</v>
      </c>
      <c r="R13" s="21" t="s">
        <v>299</v>
      </c>
      <c r="S13" s="26">
        <v>0</v>
      </c>
      <c r="T13" s="26">
        <v>0.25</v>
      </c>
      <c r="U13" s="26">
        <v>0.25</v>
      </c>
      <c r="V13" s="26">
        <v>0.4</v>
      </c>
      <c r="W13" s="26">
        <v>0.4</v>
      </c>
      <c r="X13" s="27"/>
      <c r="Y13" s="27"/>
      <c r="Z13" s="27"/>
      <c r="AA13" s="27"/>
      <c r="AB13" s="27"/>
      <c r="AC13" s="21"/>
      <c r="AD13" s="21"/>
    </row>
    <row r="14" spans="1:30" x14ac:dyDescent="0.2">
      <c r="A14" s="22" t="s">
        <v>69</v>
      </c>
      <c r="B14" s="21" t="s">
        <v>299</v>
      </c>
      <c r="C14" s="21"/>
      <c r="D14" s="26">
        <f>S9</f>
        <v>0</v>
      </c>
      <c r="E14" s="26">
        <f t="shared" ref="E14:H14" si="8">T9</f>
        <v>0.15</v>
      </c>
      <c r="F14" s="26">
        <f t="shared" si="8"/>
        <v>0.15</v>
      </c>
      <c r="G14" s="26">
        <f t="shared" si="8"/>
        <v>0.2</v>
      </c>
      <c r="H14" s="26">
        <f t="shared" si="8"/>
        <v>0.3</v>
      </c>
      <c r="I14" s="27"/>
      <c r="J14" s="27"/>
      <c r="K14" s="27"/>
      <c r="L14" s="27"/>
      <c r="M14" s="27"/>
      <c r="N14" s="21"/>
      <c r="O14" s="21"/>
      <c r="Q14" s="22" t="s">
        <v>548</v>
      </c>
      <c r="R14" s="21" t="s">
        <v>299</v>
      </c>
      <c r="S14" s="26">
        <v>0</v>
      </c>
      <c r="T14" s="26">
        <v>0.5</v>
      </c>
      <c r="U14" s="26">
        <v>0.5</v>
      </c>
      <c r="V14" s="26">
        <v>0.5</v>
      </c>
      <c r="W14" s="26">
        <v>0.5</v>
      </c>
      <c r="X14" s="27"/>
      <c r="Y14" s="27"/>
      <c r="Z14" s="27"/>
      <c r="AA14" s="27"/>
      <c r="AB14" s="27"/>
      <c r="AC14" s="21"/>
      <c r="AD14" s="21"/>
    </row>
    <row r="15" spans="1:30" x14ac:dyDescent="0.2">
      <c r="A15" s="22" t="s">
        <v>66</v>
      </c>
      <c r="B15" s="21" t="s">
        <v>299</v>
      </c>
      <c r="C15" s="21"/>
      <c r="D15" s="26">
        <f>S6</f>
        <v>0</v>
      </c>
      <c r="E15" s="26">
        <f t="shared" ref="E15:H15" si="9">T6</f>
        <v>0.14000000000000001</v>
      </c>
      <c r="F15" s="26">
        <f t="shared" si="9"/>
        <v>0.14000000000000001</v>
      </c>
      <c r="G15" s="26">
        <f t="shared" si="9"/>
        <v>0.16</v>
      </c>
      <c r="H15" s="26">
        <f t="shared" si="9"/>
        <v>0.2</v>
      </c>
      <c r="I15" s="27"/>
      <c r="J15" s="27"/>
      <c r="K15" s="27"/>
      <c r="L15" s="27"/>
      <c r="M15" s="27"/>
      <c r="N15" s="21"/>
      <c r="O15" s="21"/>
      <c r="Q15" s="22" t="s">
        <v>306</v>
      </c>
      <c r="R15" s="21" t="s">
        <v>299</v>
      </c>
      <c r="S15" s="26">
        <v>0</v>
      </c>
      <c r="T15" s="26">
        <v>0.6</v>
      </c>
      <c r="U15" s="26">
        <v>0.6</v>
      </c>
      <c r="V15" s="26">
        <v>0.8</v>
      </c>
      <c r="W15" s="26">
        <v>1</v>
      </c>
      <c r="X15" s="27"/>
      <c r="Y15" s="27"/>
      <c r="Z15" s="27"/>
      <c r="AA15" s="27"/>
      <c r="AB15" s="27"/>
      <c r="AC15" s="21"/>
      <c r="AD15" s="21"/>
    </row>
    <row r="16" spans="1:30" x14ac:dyDescent="0.2">
      <c r="A16" s="22" t="s">
        <v>71</v>
      </c>
      <c r="B16" s="21" t="s">
        <v>299</v>
      </c>
      <c r="C16" s="21"/>
      <c r="D16" s="26"/>
      <c r="E16" s="26"/>
      <c r="F16" s="26"/>
      <c r="G16" s="26"/>
      <c r="H16" s="26"/>
      <c r="I16" s="27">
        <f>X11</f>
        <v>0</v>
      </c>
      <c r="J16" s="27">
        <f t="shared" ref="J16:M16" si="10">Y11</f>
        <v>20</v>
      </c>
      <c r="K16" s="27">
        <f t="shared" si="10"/>
        <v>20</v>
      </c>
      <c r="L16" s="27">
        <f t="shared" si="10"/>
        <v>30</v>
      </c>
      <c r="M16" s="27">
        <f t="shared" si="10"/>
        <v>30</v>
      </c>
      <c r="N16" s="21"/>
      <c r="O16" s="21"/>
      <c r="Q16" s="22" t="s">
        <v>305</v>
      </c>
      <c r="R16" s="21" t="s">
        <v>299</v>
      </c>
      <c r="S16" s="26">
        <v>0</v>
      </c>
      <c r="T16" s="26">
        <v>0.25</v>
      </c>
      <c r="U16" s="26">
        <v>0.25</v>
      </c>
      <c r="V16" s="26">
        <v>0.5</v>
      </c>
      <c r="W16" s="26">
        <v>0.7</v>
      </c>
      <c r="X16" s="27"/>
      <c r="Y16" s="27"/>
      <c r="Z16" s="27"/>
      <c r="AA16" s="27"/>
      <c r="AB16" s="27"/>
      <c r="AC16" s="21"/>
      <c r="AD16" s="21"/>
    </row>
    <row r="17" spans="1:30" ht="25.5" x14ac:dyDescent="0.2">
      <c r="A17" s="22" t="s">
        <v>307</v>
      </c>
      <c r="B17" s="21" t="s">
        <v>298</v>
      </c>
      <c r="C17" s="21"/>
      <c r="D17" s="26"/>
      <c r="E17" s="26"/>
      <c r="F17" s="26"/>
      <c r="G17" s="26"/>
      <c r="H17" s="26"/>
      <c r="I17" s="27"/>
      <c r="J17" s="27"/>
      <c r="K17" s="27"/>
      <c r="L17" s="27"/>
      <c r="M17" s="27"/>
      <c r="N17" s="21"/>
      <c r="O17" s="21">
        <f>AD24</f>
        <v>0</v>
      </c>
      <c r="Q17" s="22" t="s">
        <v>79</v>
      </c>
      <c r="R17" s="21" t="s">
        <v>299</v>
      </c>
      <c r="S17" s="26"/>
      <c r="T17" s="26"/>
      <c r="U17" s="26"/>
      <c r="V17" s="26"/>
      <c r="W17" s="26"/>
      <c r="X17" s="27">
        <v>0</v>
      </c>
      <c r="Y17" s="27">
        <v>0</v>
      </c>
      <c r="Z17" s="27">
        <v>10</v>
      </c>
      <c r="AA17" s="27">
        <v>10</v>
      </c>
      <c r="AB17" s="27">
        <v>30</v>
      </c>
      <c r="AC17" s="21"/>
      <c r="AD17" s="21"/>
    </row>
    <row r="18" spans="1:30" x14ac:dyDescent="0.2">
      <c r="A18" s="22" t="s">
        <v>306</v>
      </c>
      <c r="B18" s="21" t="s">
        <v>299</v>
      </c>
      <c r="C18" s="21"/>
      <c r="D18" s="26">
        <f>S15</f>
        <v>0</v>
      </c>
      <c r="E18" s="26">
        <f t="shared" ref="E18:H18" si="11">T15</f>
        <v>0.6</v>
      </c>
      <c r="F18" s="26">
        <f t="shared" si="11"/>
        <v>0.6</v>
      </c>
      <c r="G18" s="26">
        <f t="shared" si="11"/>
        <v>0.8</v>
      </c>
      <c r="H18" s="26">
        <f t="shared" si="11"/>
        <v>1</v>
      </c>
      <c r="I18" s="27"/>
      <c r="J18" s="27"/>
      <c r="K18" s="27"/>
      <c r="L18" s="27"/>
      <c r="M18" s="27"/>
      <c r="N18" s="21"/>
      <c r="O18" s="21"/>
      <c r="Q18" s="22" t="s">
        <v>300</v>
      </c>
      <c r="R18" s="21" t="s">
        <v>298</v>
      </c>
      <c r="S18" s="26">
        <v>0</v>
      </c>
      <c r="T18" s="26">
        <v>0</v>
      </c>
      <c r="U18" s="26">
        <v>0.1</v>
      </c>
      <c r="V18" s="26">
        <v>0.15</v>
      </c>
      <c r="W18" s="26">
        <v>0.2</v>
      </c>
      <c r="X18" s="27">
        <v>0</v>
      </c>
      <c r="Y18" s="27">
        <v>0</v>
      </c>
      <c r="Z18" s="27">
        <v>2.5</v>
      </c>
      <c r="AA18" s="27">
        <v>3.75</v>
      </c>
      <c r="AB18" s="27">
        <v>5</v>
      </c>
      <c r="AC18" s="21"/>
      <c r="AD18" s="21"/>
    </row>
    <row r="19" spans="1:30" x14ac:dyDescent="0.2">
      <c r="A19" s="22" t="s">
        <v>67</v>
      </c>
      <c r="B19" s="21" t="s">
        <v>299</v>
      </c>
      <c r="C19" s="21"/>
      <c r="D19" s="26">
        <f>S7</f>
        <v>0</v>
      </c>
      <c r="E19" s="26">
        <f t="shared" ref="E19:H19" si="12">T7</f>
        <v>0.14000000000000001</v>
      </c>
      <c r="F19" s="26">
        <f t="shared" si="12"/>
        <v>0.14000000000000001</v>
      </c>
      <c r="G19" s="26">
        <f t="shared" si="12"/>
        <v>0.16</v>
      </c>
      <c r="H19" s="26">
        <f t="shared" si="12"/>
        <v>0.2</v>
      </c>
      <c r="I19" s="27"/>
      <c r="J19" s="27"/>
      <c r="K19" s="27"/>
      <c r="L19" s="27"/>
      <c r="M19" s="27"/>
      <c r="N19" s="21"/>
      <c r="O19" s="21"/>
      <c r="Q19" s="22" t="s">
        <v>297</v>
      </c>
      <c r="R19" s="21" t="s">
        <v>298</v>
      </c>
      <c r="S19" s="26"/>
      <c r="T19" s="26"/>
      <c r="U19" s="26"/>
      <c r="V19" s="26"/>
      <c r="W19" s="26"/>
      <c r="X19" s="27"/>
      <c r="Y19" s="27"/>
      <c r="Z19" s="27"/>
      <c r="AA19" s="27"/>
      <c r="AB19" s="27"/>
      <c r="AC19" s="21">
        <v>270</v>
      </c>
      <c r="AD19" s="21">
        <v>90</v>
      </c>
    </row>
    <row r="20" spans="1:30" ht="25.5" x14ac:dyDescent="0.2">
      <c r="A20" s="22" t="s">
        <v>68</v>
      </c>
      <c r="B20" s="21" t="s">
        <v>299</v>
      </c>
      <c r="C20" s="21"/>
      <c r="D20" s="26">
        <f>S8</f>
        <v>0</v>
      </c>
      <c r="E20" s="26">
        <f t="shared" ref="E20:H20" si="13">T8</f>
        <v>0.75</v>
      </c>
      <c r="F20" s="26">
        <f t="shared" si="13"/>
        <v>1</v>
      </c>
      <c r="G20" s="26">
        <f t="shared" si="13"/>
        <v>1</v>
      </c>
      <c r="H20" s="26">
        <f t="shared" si="13"/>
        <v>1</v>
      </c>
      <c r="I20" s="27"/>
      <c r="J20" s="27"/>
      <c r="K20" s="27"/>
      <c r="L20" s="27"/>
      <c r="M20" s="27"/>
      <c r="N20" s="21"/>
      <c r="O20" s="21"/>
      <c r="Q20" s="22" t="s">
        <v>302</v>
      </c>
      <c r="R20" s="21" t="s">
        <v>298</v>
      </c>
      <c r="S20" s="26">
        <v>0</v>
      </c>
      <c r="T20" s="26">
        <v>0.75</v>
      </c>
      <c r="U20" s="26">
        <v>0.75</v>
      </c>
      <c r="V20" s="26">
        <v>0.75</v>
      </c>
      <c r="W20" s="26">
        <v>0.75</v>
      </c>
      <c r="X20" s="27"/>
      <c r="Y20" s="27"/>
      <c r="Z20" s="27"/>
      <c r="AA20" s="27"/>
      <c r="AB20" s="27"/>
      <c r="AC20" s="21"/>
      <c r="AD20" s="21"/>
    </row>
    <row r="21" spans="1:30" x14ac:dyDescent="0.2">
      <c r="A21" s="22" t="s">
        <v>79</v>
      </c>
      <c r="B21" s="21" t="s">
        <v>299</v>
      </c>
      <c r="C21" s="21"/>
      <c r="D21" s="26"/>
      <c r="E21" s="26"/>
      <c r="F21" s="26"/>
      <c r="G21" s="26"/>
      <c r="H21" s="26"/>
      <c r="I21" s="27">
        <f>X17</f>
        <v>0</v>
      </c>
      <c r="J21" s="27">
        <f t="shared" ref="J21:M21" si="14">Y17</f>
        <v>0</v>
      </c>
      <c r="K21" s="27">
        <f t="shared" si="14"/>
        <v>10</v>
      </c>
      <c r="L21" s="27">
        <f t="shared" si="14"/>
        <v>10</v>
      </c>
      <c r="M21" s="27">
        <f t="shared" si="14"/>
        <v>30</v>
      </c>
      <c r="N21" s="21"/>
      <c r="O21" s="21"/>
      <c r="Q21" s="22" t="s">
        <v>304</v>
      </c>
      <c r="R21" s="21" t="s">
        <v>298</v>
      </c>
      <c r="S21" s="26">
        <v>0</v>
      </c>
      <c r="T21" s="26">
        <v>0.5</v>
      </c>
      <c r="U21" s="26">
        <v>0.5</v>
      </c>
      <c r="V21" s="26">
        <v>0.5</v>
      </c>
      <c r="W21" s="26">
        <v>0.5</v>
      </c>
      <c r="X21" s="27"/>
      <c r="Y21" s="27"/>
      <c r="Z21" s="27"/>
      <c r="AA21" s="27"/>
      <c r="AB21" s="27"/>
      <c r="AC21" s="21"/>
      <c r="AD21" s="21"/>
    </row>
    <row r="22" spans="1:30" x14ac:dyDescent="0.2">
      <c r="A22" s="22" t="s">
        <v>308</v>
      </c>
      <c r="B22" s="21" t="s">
        <v>299</v>
      </c>
      <c r="C22" s="21"/>
      <c r="D22" s="26">
        <f>S3</f>
        <v>0</v>
      </c>
      <c r="E22" s="26">
        <f t="shared" ref="E22:H22" si="15">T3</f>
        <v>0.04</v>
      </c>
      <c r="F22" s="26">
        <f t="shared" si="15"/>
        <v>0.06</v>
      </c>
      <c r="G22" s="26">
        <f t="shared" si="15"/>
        <v>0.1</v>
      </c>
      <c r="H22" s="26">
        <f t="shared" si="15"/>
        <v>0.13</v>
      </c>
      <c r="I22" s="27"/>
      <c r="J22" s="27"/>
      <c r="K22" s="27"/>
      <c r="L22" s="27"/>
      <c r="M22" s="27"/>
      <c r="N22" s="21"/>
      <c r="O22" s="21"/>
      <c r="Q22" s="22" t="s">
        <v>301</v>
      </c>
      <c r="R22" s="21" t="s">
        <v>298</v>
      </c>
      <c r="S22" s="26"/>
      <c r="T22" s="26"/>
      <c r="U22" s="26"/>
      <c r="V22" s="26"/>
      <c r="W22" s="26"/>
      <c r="X22" s="27"/>
      <c r="Y22" s="27"/>
      <c r="Z22" s="27"/>
      <c r="AA22" s="27"/>
      <c r="AB22" s="27"/>
      <c r="AC22" s="21"/>
      <c r="AD22" s="21">
        <v>400</v>
      </c>
    </row>
    <row r="23" spans="1:30" x14ac:dyDescent="0.2">
      <c r="A23" s="22" t="s">
        <v>65</v>
      </c>
      <c r="B23" s="21" t="s">
        <v>299</v>
      </c>
      <c r="C23" s="21"/>
      <c r="D23" s="26">
        <f>S5</f>
        <v>0</v>
      </c>
      <c r="E23" s="26">
        <f t="shared" ref="E23:H23" si="16">T5</f>
        <v>0.14000000000000001</v>
      </c>
      <c r="F23" s="26">
        <f t="shared" si="16"/>
        <v>0.14000000000000001</v>
      </c>
      <c r="G23" s="26">
        <f t="shared" si="16"/>
        <v>0.16</v>
      </c>
      <c r="H23" s="26">
        <f t="shared" si="16"/>
        <v>0.2</v>
      </c>
      <c r="I23" s="27"/>
      <c r="J23" s="27"/>
      <c r="K23" s="27"/>
      <c r="L23" s="27"/>
      <c r="M23" s="27"/>
      <c r="N23" s="21"/>
      <c r="O23" s="21"/>
      <c r="Q23" s="22" t="s">
        <v>87</v>
      </c>
      <c r="R23" s="21" t="s">
        <v>298</v>
      </c>
      <c r="S23" s="26"/>
      <c r="T23" s="26"/>
      <c r="U23" s="26"/>
      <c r="V23" s="26"/>
      <c r="W23" s="26"/>
      <c r="X23" s="27"/>
      <c r="Y23" s="27"/>
      <c r="Z23" s="27"/>
      <c r="AA23" s="27"/>
      <c r="AB23" s="27"/>
      <c r="AC23" s="21"/>
      <c r="AD23" s="21">
        <v>800</v>
      </c>
    </row>
    <row r="24" spans="1:30" x14ac:dyDescent="0.2">
      <c r="A24" s="22" t="s">
        <v>64</v>
      </c>
      <c r="B24" s="21" t="s">
        <v>299</v>
      </c>
      <c r="C24" s="21"/>
      <c r="D24" s="26"/>
      <c r="E24" s="26"/>
      <c r="F24" s="26"/>
      <c r="G24" s="26"/>
      <c r="H24" s="26"/>
      <c r="I24" s="27">
        <f>X4</f>
        <v>0</v>
      </c>
      <c r="J24" s="27">
        <f t="shared" ref="J24:M24" si="17">Y4</f>
        <v>0.7</v>
      </c>
      <c r="K24" s="27">
        <f t="shared" si="17"/>
        <v>0.7</v>
      </c>
      <c r="L24" s="27">
        <f t="shared" si="17"/>
        <v>0.8</v>
      </c>
      <c r="M24" s="27">
        <f t="shared" si="17"/>
        <v>1</v>
      </c>
      <c r="N24" s="21"/>
      <c r="O24" s="21"/>
      <c r="Q24" s="22" t="s">
        <v>307</v>
      </c>
      <c r="R24" s="21" t="s">
        <v>298</v>
      </c>
      <c r="S24" s="26"/>
      <c r="T24" s="26"/>
      <c r="U24" s="26"/>
      <c r="V24" s="26"/>
      <c r="W24" s="26"/>
      <c r="X24" s="27"/>
      <c r="Y24" s="27"/>
      <c r="Z24" s="27"/>
      <c r="AA24" s="27"/>
      <c r="AB24" s="27"/>
      <c r="AC24" s="21"/>
      <c r="AD24" s="21">
        <v>0</v>
      </c>
    </row>
  </sheetData>
  <mergeCells count="4">
    <mergeCell ref="D1:H1"/>
    <mergeCell ref="I1:M1"/>
    <mergeCell ref="S1:W1"/>
    <mergeCell ref="X1:AB1"/>
  </mergeCells>
  <pageMargins left="0.7" right="0.7" top="0.75" bottom="0.75" header="0.3" footer="0.3"/>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4BACC6"/>
  </sheetPr>
  <dimension ref="A2:L27"/>
  <sheetViews>
    <sheetView view="pageLayout" zoomScaleNormal="100" workbookViewId="0">
      <selection activeCell="I35" sqref="I35"/>
    </sheetView>
  </sheetViews>
  <sheetFormatPr defaultRowHeight="15" x14ac:dyDescent="0.25"/>
  <cols>
    <col min="1" max="1" width="2.5703125" customWidth="1"/>
  </cols>
  <sheetData>
    <row r="2" spans="1:12" x14ac:dyDescent="0.25">
      <c r="A2" s="386" t="s">
        <v>1029</v>
      </c>
      <c r="B2" s="386"/>
      <c r="C2" s="386"/>
      <c r="D2" s="386"/>
      <c r="E2" s="386"/>
      <c r="F2" s="386"/>
      <c r="G2" s="386"/>
      <c r="H2" s="386"/>
      <c r="I2" s="386"/>
      <c r="J2" s="386"/>
      <c r="K2" s="386"/>
      <c r="L2" s="386"/>
    </row>
    <row r="3" spans="1:12" ht="33.6" customHeight="1" x14ac:dyDescent="0.25">
      <c r="A3" s="387"/>
      <c r="B3" s="387"/>
      <c r="C3" s="387"/>
      <c r="D3" s="387"/>
      <c r="E3" s="387"/>
      <c r="F3" s="387"/>
      <c r="G3" s="387"/>
      <c r="H3" s="387"/>
      <c r="I3" s="387"/>
      <c r="J3" s="387"/>
      <c r="K3" s="387"/>
      <c r="L3" s="387"/>
    </row>
    <row r="4" spans="1:12" ht="14.45" customHeight="1" x14ac:dyDescent="0.25">
      <c r="A4" s="195" t="s">
        <v>702</v>
      </c>
      <c r="B4" s="388" t="s">
        <v>703</v>
      </c>
      <c r="C4" s="389"/>
      <c r="D4" s="389"/>
      <c r="E4" s="389"/>
      <c r="F4" s="389"/>
      <c r="G4" s="389"/>
      <c r="H4" s="389"/>
      <c r="I4" s="389"/>
      <c r="J4" s="389"/>
      <c r="K4" s="389"/>
      <c r="L4" s="389"/>
    </row>
    <row r="5" spans="1:12" ht="29.25" customHeight="1" x14ac:dyDescent="0.25">
      <c r="A5" s="390" t="s">
        <v>837</v>
      </c>
      <c r="B5" s="391"/>
      <c r="C5" s="391"/>
      <c r="D5" s="391"/>
      <c r="E5" s="391"/>
      <c r="F5" s="391"/>
      <c r="G5" s="391"/>
      <c r="H5" s="391"/>
      <c r="I5" s="391"/>
      <c r="J5" s="391"/>
      <c r="K5" s="391"/>
      <c r="L5" s="391"/>
    </row>
    <row r="6" spans="1:12" x14ac:dyDescent="0.25">
      <c r="A6" s="392"/>
      <c r="B6" s="392"/>
      <c r="C6" s="393" t="s">
        <v>704</v>
      </c>
      <c r="D6" s="394"/>
      <c r="E6" s="393" t="s">
        <v>705</v>
      </c>
      <c r="F6" s="394"/>
      <c r="G6" s="393" t="s">
        <v>706</v>
      </c>
      <c r="H6" s="394"/>
      <c r="I6" s="393" t="s">
        <v>707</v>
      </c>
      <c r="J6" s="394"/>
      <c r="K6" s="393" t="s">
        <v>708</v>
      </c>
      <c r="L6" s="394"/>
    </row>
    <row r="7" spans="1:12" ht="14.45" customHeight="1" x14ac:dyDescent="0.25">
      <c r="A7" s="393" t="s">
        <v>709</v>
      </c>
      <c r="B7" s="396"/>
      <c r="C7" s="396"/>
      <c r="D7" s="396"/>
      <c r="E7" s="396"/>
      <c r="F7" s="396"/>
      <c r="G7" s="396"/>
      <c r="H7" s="396"/>
      <c r="I7" s="396"/>
      <c r="J7" s="396"/>
      <c r="K7" s="396"/>
      <c r="L7" s="396"/>
    </row>
    <row r="8" spans="1:12" x14ac:dyDescent="0.25">
      <c r="A8" s="192"/>
      <c r="B8" s="193"/>
      <c r="C8" s="194" t="s">
        <v>710</v>
      </c>
      <c r="D8" s="194" t="s">
        <v>711</v>
      </c>
      <c r="E8" s="194" t="s">
        <v>710</v>
      </c>
      <c r="F8" s="194" t="s">
        <v>711</v>
      </c>
      <c r="G8" s="194" t="s">
        <v>710</v>
      </c>
      <c r="H8" s="194" t="s">
        <v>711</v>
      </c>
      <c r="I8" s="194" t="s">
        <v>710</v>
      </c>
      <c r="J8" s="194" t="s">
        <v>711</v>
      </c>
      <c r="K8" s="194" t="s">
        <v>710</v>
      </c>
      <c r="L8" s="194" t="s">
        <v>711</v>
      </c>
    </row>
    <row r="9" spans="1:12" x14ac:dyDescent="0.25">
      <c r="A9" s="392" t="s">
        <v>134</v>
      </c>
      <c r="B9" s="392"/>
      <c r="C9" s="264"/>
      <c r="D9" s="264"/>
      <c r="E9" s="264"/>
      <c r="F9" s="264"/>
      <c r="G9" s="264"/>
      <c r="H9" s="264"/>
      <c r="I9" s="265"/>
      <c r="J9" s="265"/>
      <c r="K9" s="146">
        <f>IF(E9="",C9,AVERAGE(C9,E9,G9,I9))</f>
        <v>0</v>
      </c>
      <c r="L9" s="146">
        <f>IF(F9="",D9,AVERAGE(D9,F9,H9,J9))</f>
        <v>0</v>
      </c>
    </row>
    <row r="10" spans="1:12" x14ac:dyDescent="0.25">
      <c r="A10" s="392" t="s">
        <v>135</v>
      </c>
      <c r="B10" s="392"/>
      <c r="C10" s="264"/>
      <c r="D10" s="264"/>
      <c r="E10" s="264"/>
      <c r="F10" s="264"/>
      <c r="G10" s="264"/>
      <c r="H10" s="264"/>
      <c r="I10" s="265"/>
      <c r="J10" s="265"/>
      <c r="K10" s="146">
        <f t="shared" ref="K10:L18" si="0">IF(E10="",C10,AVERAGE(C10,E10,G10,I10))</f>
        <v>0</v>
      </c>
      <c r="L10" s="146">
        <f t="shared" si="0"/>
        <v>0</v>
      </c>
    </row>
    <row r="11" spans="1:12" x14ac:dyDescent="0.25">
      <c r="A11" s="392" t="s">
        <v>136</v>
      </c>
      <c r="B11" s="392"/>
      <c r="C11" s="264"/>
      <c r="D11" s="264"/>
      <c r="E11" s="264"/>
      <c r="F11" s="264"/>
      <c r="G11" s="264"/>
      <c r="H11" s="264"/>
      <c r="I11" s="265"/>
      <c r="J11" s="265"/>
      <c r="K11" s="146">
        <f t="shared" si="0"/>
        <v>0</v>
      </c>
      <c r="L11" s="146">
        <f t="shared" si="0"/>
        <v>0</v>
      </c>
    </row>
    <row r="12" spans="1:12" x14ac:dyDescent="0.25">
      <c r="A12" s="392" t="s">
        <v>137</v>
      </c>
      <c r="B12" s="392"/>
      <c r="C12" s="264"/>
      <c r="D12" s="264"/>
      <c r="E12" s="264"/>
      <c r="F12" s="264"/>
      <c r="G12" s="264"/>
      <c r="H12" s="264"/>
      <c r="I12" s="265"/>
      <c r="J12" s="265"/>
      <c r="K12" s="146">
        <f t="shared" si="0"/>
        <v>0</v>
      </c>
      <c r="L12" s="146">
        <f t="shared" si="0"/>
        <v>0</v>
      </c>
    </row>
    <row r="13" spans="1:12" x14ac:dyDescent="0.25">
      <c r="A13" s="392" t="s">
        <v>138</v>
      </c>
      <c r="B13" s="392"/>
      <c r="C13" s="264"/>
      <c r="D13" s="264"/>
      <c r="E13" s="264"/>
      <c r="F13" s="264"/>
      <c r="G13" s="264"/>
      <c r="H13" s="264"/>
      <c r="I13" s="265"/>
      <c r="J13" s="265"/>
      <c r="K13" s="146">
        <f t="shared" si="0"/>
        <v>0</v>
      </c>
      <c r="L13" s="146">
        <f t="shared" si="0"/>
        <v>0</v>
      </c>
    </row>
    <row r="14" spans="1:12" x14ac:dyDescent="0.25">
      <c r="A14" s="392" t="s">
        <v>139</v>
      </c>
      <c r="B14" s="392"/>
      <c r="C14" s="264"/>
      <c r="D14" s="264"/>
      <c r="E14" s="264"/>
      <c r="F14" s="264"/>
      <c r="G14" s="264"/>
      <c r="H14" s="264"/>
      <c r="I14" s="265"/>
      <c r="J14" s="265"/>
      <c r="K14" s="146">
        <f t="shared" si="0"/>
        <v>0</v>
      </c>
      <c r="L14" s="146">
        <f t="shared" si="0"/>
        <v>0</v>
      </c>
    </row>
    <row r="15" spans="1:12" x14ac:dyDescent="0.25">
      <c r="A15" s="392" t="s">
        <v>140</v>
      </c>
      <c r="B15" s="392"/>
      <c r="C15" s="264"/>
      <c r="D15" s="264"/>
      <c r="E15" s="264"/>
      <c r="F15" s="264"/>
      <c r="G15" s="264"/>
      <c r="H15" s="264"/>
      <c r="I15" s="265"/>
      <c r="J15" s="265"/>
      <c r="K15" s="146">
        <f t="shared" si="0"/>
        <v>0</v>
      </c>
      <c r="L15" s="146">
        <f t="shared" si="0"/>
        <v>0</v>
      </c>
    </row>
    <row r="16" spans="1:12" x14ac:dyDescent="0.25">
      <c r="A16" s="392" t="s">
        <v>141</v>
      </c>
      <c r="B16" s="392"/>
      <c r="C16" s="264"/>
      <c r="D16" s="264"/>
      <c r="E16" s="264"/>
      <c r="F16" s="264"/>
      <c r="G16" s="264"/>
      <c r="H16" s="264"/>
      <c r="I16" s="265"/>
      <c r="J16" s="265"/>
      <c r="K16" s="146">
        <f t="shared" si="0"/>
        <v>0</v>
      </c>
      <c r="L16" s="146">
        <f t="shared" si="0"/>
        <v>0</v>
      </c>
    </row>
    <row r="17" spans="1:12" x14ac:dyDescent="0.25">
      <c r="A17" s="392" t="s">
        <v>142</v>
      </c>
      <c r="B17" s="392"/>
      <c r="C17" s="264"/>
      <c r="D17" s="264"/>
      <c r="E17" s="264"/>
      <c r="F17" s="264"/>
      <c r="G17" s="264"/>
      <c r="H17" s="264"/>
      <c r="I17" s="265"/>
      <c r="J17" s="265"/>
      <c r="K17" s="146">
        <f t="shared" si="0"/>
        <v>0</v>
      </c>
      <c r="L17" s="146">
        <f t="shared" si="0"/>
        <v>0</v>
      </c>
    </row>
    <row r="18" spans="1:12" x14ac:dyDescent="0.25">
      <c r="A18" s="392" t="s">
        <v>143</v>
      </c>
      <c r="B18" s="392"/>
      <c r="C18" s="264"/>
      <c r="D18" s="264"/>
      <c r="E18" s="264"/>
      <c r="F18" s="264"/>
      <c r="G18" s="264"/>
      <c r="H18" s="264"/>
      <c r="I18" s="265"/>
      <c r="J18" s="265"/>
      <c r="K18" s="146">
        <f t="shared" si="0"/>
        <v>0</v>
      </c>
      <c r="L18" s="146">
        <f t="shared" si="0"/>
        <v>0</v>
      </c>
    </row>
    <row r="19" spans="1:12" x14ac:dyDescent="0.25">
      <c r="A19" s="395" t="s">
        <v>128</v>
      </c>
      <c r="B19" s="395"/>
      <c r="C19" s="146">
        <f>SUM(C9:C18)</f>
        <v>0</v>
      </c>
      <c r="D19" s="146">
        <f t="shared" ref="D19:J19" si="1">SUM(D9:D18)</f>
        <v>0</v>
      </c>
      <c r="E19" s="146">
        <f t="shared" si="1"/>
        <v>0</v>
      </c>
      <c r="F19" s="146">
        <f t="shared" si="1"/>
        <v>0</v>
      </c>
      <c r="G19" s="146">
        <f t="shared" si="1"/>
        <v>0</v>
      </c>
      <c r="H19" s="146">
        <f t="shared" si="1"/>
        <v>0</v>
      </c>
      <c r="I19" s="146">
        <f t="shared" si="1"/>
        <v>0</v>
      </c>
      <c r="J19" s="146">
        <f t="shared" si="1"/>
        <v>0</v>
      </c>
      <c r="K19" s="146">
        <f>IF(E19=0,C19,AVERAGE(C19,E19,G19,I19))</f>
        <v>0</v>
      </c>
      <c r="L19" s="146">
        <f>IF(F19=0,D19,AVERAGE(D19,F19,H19,J19))</f>
        <v>0</v>
      </c>
    </row>
    <row r="20" spans="1:12" x14ac:dyDescent="0.25">
      <c r="A20" s="393" t="s">
        <v>712</v>
      </c>
      <c r="B20" s="396"/>
      <c r="C20" s="396"/>
      <c r="D20" s="396"/>
      <c r="E20" s="396"/>
      <c r="F20" s="396"/>
      <c r="G20" s="396"/>
      <c r="H20" s="396"/>
      <c r="I20" s="396"/>
      <c r="J20" s="396"/>
      <c r="K20" s="396"/>
      <c r="L20" s="396"/>
    </row>
    <row r="21" spans="1:12" x14ac:dyDescent="0.25">
      <c r="A21" s="192"/>
      <c r="B21" s="193"/>
      <c r="C21" s="193"/>
      <c r="D21" s="193"/>
      <c r="E21" s="193"/>
      <c r="F21" s="193"/>
      <c r="G21" s="193"/>
      <c r="H21" s="193"/>
      <c r="I21" s="193"/>
      <c r="J21" s="193"/>
      <c r="K21" s="193"/>
      <c r="L21" s="193"/>
    </row>
    <row r="22" spans="1:12" x14ac:dyDescent="0.25">
      <c r="A22" s="393" t="s">
        <v>124</v>
      </c>
      <c r="B22" s="394"/>
      <c r="C22" s="397"/>
      <c r="D22" s="398"/>
      <c r="E22" s="397"/>
      <c r="F22" s="398"/>
      <c r="G22" s="397"/>
      <c r="H22" s="398"/>
      <c r="I22" s="397"/>
      <c r="J22" s="398"/>
      <c r="K22" s="399" t="str">
        <f>IF(C22="","",IF(E22="",C22,AVERAGE(C22:J22)))</f>
        <v/>
      </c>
      <c r="L22" s="400"/>
    </row>
    <row r="23" spans="1:12" x14ac:dyDescent="0.25">
      <c r="A23" s="393" t="s">
        <v>125</v>
      </c>
      <c r="B23" s="394"/>
      <c r="C23" s="397"/>
      <c r="D23" s="398"/>
      <c r="E23" s="397"/>
      <c r="F23" s="398"/>
      <c r="G23" s="397"/>
      <c r="H23" s="398"/>
      <c r="I23" s="397"/>
      <c r="J23" s="398"/>
      <c r="K23" s="399" t="str">
        <f t="shared" ref="K23:K25" si="2">IF(C23="","",IF(E23="",C23,AVERAGE(C23:J23)))</f>
        <v/>
      </c>
      <c r="L23" s="400"/>
    </row>
    <row r="24" spans="1:12" x14ac:dyDescent="0.25">
      <c r="A24" s="393" t="s">
        <v>126</v>
      </c>
      <c r="B24" s="394"/>
      <c r="C24" s="397"/>
      <c r="D24" s="398"/>
      <c r="E24" s="397"/>
      <c r="F24" s="398"/>
      <c r="G24" s="397"/>
      <c r="H24" s="398"/>
      <c r="I24" s="397"/>
      <c r="J24" s="398"/>
      <c r="K24" s="399" t="str">
        <f t="shared" si="2"/>
        <v/>
      </c>
      <c r="L24" s="400"/>
    </row>
    <row r="25" spans="1:12" x14ac:dyDescent="0.25">
      <c r="A25" s="393" t="s">
        <v>615</v>
      </c>
      <c r="B25" s="394"/>
      <c r="C25" s="397"/>
      <c r="D25" s="398"/>
      <c r="E25" s="397"/>
      <c r="F25" s="398"/>
      <c r="G25" s="397"/>
      <c r="H25" s="398"/>
      <c r="I25" s="397"/>
      <c r="J25" s="398"/>
      <c r="K25" s="399" t="str">
        <f t="shared" si="2"/>
        <v/>
      </c>
      <c r="L25" s="400"/>
    </row>
    <row r="26" spans="1:12" x14ac:dyDescent="0.25">
      <c r="A26" s="403" t="s">
        <v>128</v>
      </c>
      <c r="B26" s="403"/>
      <c r="C26" s="401">
        <f>SUM(C22:D25)</f>
        <v>0</v>
      </c>
      <c r="D26" s="402"/>
      <c r="E26" s="401">
        <f>SUM(E22:F25)</f>
        <v>0</v>
      </c>
      <c r="F26" s="402"/>
      <c r="G26" s="401">
        <f>SUM(G22:H25)</f>
        <v>0</v>
      </c>
      <c r="H26" s="402"/>
      <c r="I26" s="401">
        <f>SUM(I22:J25)</f>
        <v>0</v>
      </c>
      <c r="J26" s="402"/>
      <c r="K26" s="401">
        <f>SUM(K22:L25)</f>
        <v>0</v>
      </c>
      <c r="L26" s="402"/>
    </row>
    <row r="27" spans="1:12" ht="14.45" customHeight="1" x14ac:dyDescent="0.25">
      <c r="A27" s="116"/>
      <c r="B27" s="116"/>
      <c r="C27" s="116"/>
      <c r="D27" s="116"/>
      <c r="E27" s="116"/>
      <c r="F27" s="116"/>
      <c r="G27" s="116"/>
      <c r="H27" s="116"/>
      <c r="I27" s="116"/>
      <c r="J27" s="116"/>
      <c r="K27" s="116"/>
      <c r="L27" s="116"/>
    </row>
  </sheetData>
  <mergeCells count="52">
    <mergeCell ref="K26:L26"/>
    <mergeCell ref="A25:B25"/>
    <mergeCell ref="C25:D25"/>
    <mergeCell ref="E25:F25"/>
    <mergeCell ref="G25:H25"/>
    <mergeCell ref="I25:J25"/>
    <mergeCell ref="K25:L25"/>
    <mergeCell ref="A26:B26"/>
    <mergeCell ref="C26:D26"/>
    <mergeCell ref="E26:F26"/>
    <mergeCell ref="G26:H26"/>
    <mergeCell ref="I26:J26"/>
    <mergeCell ref="K24:L24"/>
    <mergeCell ref="A23:B23"/>
    <mergeCell ref="C23:D23"/>
    <mergeCell ref="E23:F23"/>
    <mergeCell ref="G23:H23"/>
    <mergeCell ref="I23:J23"/>
    <mergeCell ref="K23:L23"/>
    <mergeCell ref="A24:B24"/>
    <mergeCell ref="C24:D24"/>
    <mergeCell ref="E24:F24"/>
    <mergeCell ref="G24:H24"/>
    <mergeCell ref="I24:J24"/>
    <mergeCell ref="A20:L20"/>
    <mergeCell ref="A22:B22"/>
    <mergeCell ref="C22:D22"/>
    <mergeCell ref="E22:F22"/>
    <mergeCell ref="G22:H22"/>
    <mergeCell ref="I22:J22"/>
    <mergeCell ref="K22:L22"/>
    <mergeCell ref="A19:B19"/>
    <mergeCell ref="A7:L7"/>
    <mergeCell ref="A9:B9"/>
    <mergeCell ref="A10:B10"/>
    <mergeCell ref="A11:B11"/>
    <mergeCell ref="A12:B12"/>
    <mergeCell ref="A13:B13"/>
    <mergeCell ref="A14:B14"/>
    <mergeCell ref="A15:B15"/>
    <mergeCell ref="A16:B16"/>
    <mergeCell ref="A17:B17"/>
    <mergeCell ref="A18:B18"/>
    <mergeCell ref="A2:L3"/>
    <mergeCell ref="B4:L4"/>
    <mergeCell ref="A5:L5"/>
    <mergeCell ref="A6:B6"/>
    <mergeCell ref="C6:D6"/>
    <mergeCell ref="E6:F6"/>
    <mergeCell ref="G6:H6"/>
    <mergeCell ref="I6:J6"/>
    <mergeCell ref="K6:L6"/>
  </mergeCells>
  <pageMargins left="0.7" right="0.7" top="0.75" bottom="0.75" header="0.3" footer="0.3"/>
  <pageSetup scale="80" orientation="portrait" r:id="rId1"/>
  <headerFooter>
    <oddHeader xml:space="preserve">&amp;LNYC SCA&amp;CGSG End Use
</oddHeader>
    <oddFooter xml:space="preserve">&amp;R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8"/>
  </sheetPr>
  <dimension ref="A1:K54"/>
  <sheetViews>
    <sheetView showWhiteSpace="0" view="pageLayout" topLeftCell="A28" zoomScale="85" zoomScaleNormal="100" zoomScaleSheetLayoutView="100" zoomScalePageLayoutView="85" workbookViewId="0">
      <selection activeCell="F16" sqref="F16"/>
    </sheetView>
  </sheetViews>
  <sheetFormatPr defaultRowHeight="15" x14ac:dyDescent="0.25"/>
  <cols>
    <col min="1" max="1" width="3.42578125" customWidth="1"/>
    <col min="2" max="2" width="25.42578125" customWidth="1"/>
    <col min="3" max="3" width="8.42578125" customWidth="1"/>
    <col min="4" max="4" width="12.42578125" customWidth="1"/>
    <col min="5" max="5" width="14.5703125" customWidth="1"/>
    <col min="6" max="6" width="4.85546875" customWidth="1"/>
    <col min="7" max="7" width="20.140625" customWidth="1"/>
    <col min="8" max="8" width="13" customWidth="1"/>
    <col min="10" max="10" width="20.85546875" customWidth="1"/>
    <col min="11" max="11" width="22" customWidth="1"/>
  </cols>
  <sheetData>
    <row r="1" spans="1:11" ht="15.75" thickBot="1" x14ac:dyDescent="0.3"/>
    <row r="2" spans="1:11" ht="15.75" thickBot="1" x14ac:dyDescent="0.3">
      <c r="B2" s="407" t="s">
        <v>795</v>
      </c>
      <c r="C2" s="408"/>
      <c r="D2" s="408"/>
      <c r="E2" s="409"/>
    </row>
    <row r="3" spans="1:11" x14ac:dyDescent="0.25">
      <c r="B3" s="184" t="s">
        <v>796</v>
      </c>
      <c r="C3" s="410"/>
      <c r="D3" s="411"/>
      <c r="E3" s="412"/>
    </row>
    <row r="4" spans="1:11" x14ac:dyDescent="0.25">
      <c r="B4" s="184" t="s">
        <v>797</v>
      </c>
      <c r="C4" s="413"/>
      <c r="D4" s="414"/>
      <c r="E4" s="415"/>
    </row>
    <row r="5" spans="1:11" x14ac:dyDescent="0.25">
      <c r="B5" s="184" t="s">
        <v>958</v>
      </c>
      <c r="C5" s="413"/>
      <c r="D5" s="414"/>
      <c r="E5" s="415"/>
    </row>
    <row r="6" spans="1:11" x14ac:dyDescent="0.25">
      <c r="B6" s="184" t="s">
        <v>959</v>
      </c>
      <c r="C6" s="413"/>
      <c r="D6" s="414"/>
      <c r="E6" s="415"/>
    </row>
    <row r="7" spans="1:11" x14ac:dyDescent="0.25">
      <c r="B7" s="184" t="s">
        <v>769</v>
      </c>
      <c r="C7" s="413"/>
      <c r="D7" s="414"/>
      <c r="E7" s="415"/>
    </row>
    <row r="8" spans="1:11" x14ac:dyDescent="0.25">
      <c r="B8" s="184" t="s">
        <v>877</v>
      </c>
      <c r="C8" s="413"/>
      <c r="D8" s="414"/>
      <c r="E8" s="415"/>
    </row>
    <row r="9" spans="1:11" ht="15.75" thickBot="1" x14ac:dyDescent="0.3">
      <c r="B9" s="183" t="s">
        <v>770</v>
      </c>
      <c r="C9" s="416"/>
      <c r="D9" s="417"/>
      <c r="E9" s="418"/>
    </row>
    <row r="10" spans="1:11" ht="15.75" thickBot="1" x14ac:dyDescent="0.3">
      <c r="A10" s="137"/>
    </row>
    <row r="11" spans="1:11" ht="15.75" thickBot="1" x14ac:dyDescent="0.3">
      <c r="A11" s="137"/>
      <c r="B11" s="407" t="s">
        <v>794</v>
      </c>
      <c r="C11" s="408"/>
      <c r="D11" s="408"/>
      <c r="E11" s="409"/>
    </row>
    <row r="12" spans="1:11" x14ac:dyDescent="0.25">
      <c r="A12" s="179"/>
      <c r="B12" s="184" t="s">
        <v>923</v>
      </c>
      <c r="C12" s="261"/>
      <c r="D12" s="410" t="s">
        <v>789</v>
      </c>
      <c r="E12" s="412"/>
      <c r="F12" s="179"/>
      <c r="G12" s="179"/>
      <c r="H12" s="179"/>
      <c r="I12" s="179"/>
      <c r="J12" s="179"/>
      <c r="K12" s="179"/>
    </row>
    <row r="13" spans="1:11" x14ac:dyDescent="0.25">
      <c r="A13" s="181"/>
      <c r="B13" s="184" t="s">
        <v>771</v>
      </c>
      <c r="C13" s="261"/>
      <c r="D13" s="413" t="s">
        <v>791</v>
      </c>
      <c r="E13" s="415"/>
    </row>
    <row r="14" spans="1:11" x14ac:dyDescent="0.25">
      <c r="A14" s="181"/>
      <c r="B14" s="184" t="s">
        <v>772</v>
      </c>
      <c r="C14" s="261"/>
      <c r="D14" s="413" t="s">
        <v>956</v>
      </c>
      <c r="E14" s="415"/>
    </row>
    <row r="15" spans="1:11" ht="15.75" thickBot="1" x14ac:dyDescent="0.3">
      <c r="A15" s="181"/>
      <c r="B15" s="183" t="s">
        <v>815</v>
      </c>
      <c r="C15" s="262"/>
      <c r="D15" s="421">
        <v>0</v>
      </c>
      <c r="E15" s="422"/>
    </row>
    <row r="16" spans="1:11" ht="15.75" thickBot="1" x14ac:dyDescent="0.3">
      <c r="A16" s="181"/>
    </row>
    <row r="17" spans="1:8" ht="27" customHeight="1" thickBot="1" x14ac:dyDescent="0.3">
      <c r="A17" s="181"/>
      <c r="B17" s="407" t="s">
        <v>739</v>
      </c>
      <c r="C17" s="408"/>
      <c r="D17" s="408"/>
      <c r="E17" s="409"/>
    </row>
    <row r="18" spans="1:8" ht="30" customHeight="1" x14ac:dyDescent="0.25">
      <c r="A18" s="181"/>
      <c r="B18" s="184"/>
      <c r="C18" s="261" t="s">
        <v>773</v>
      </c>
      <c r="D18" s="410"/>
      <c r="E18" s="412"/>
      <c r="G18" s="181"/>
    </row>
    <row r="19" spans="1:8" x14ac:dyDescent="0.25">
      <c r="B19" s="184"/>
      <c r="C19" s="261" t="s">
        <v>743</v>
      </c>
      <c r="D19" s="419">
        <f>'1,2,3 Information'!C25</f>
        <v>0</v>
      </c>
      <c r="E19" s="420"/>
      <c r="G19" s="181"/>
    </row>
    <row r="20" spans="1:8" x14ac:dyDescent="0.25">
      <c r="B20" s="182"/>
      <c r="C20" s="263" t="s">
        <v>740</v>
      </c>
      <c r="D20" s="419">
        <f>'1,2,3 Information'!C26</f>
        <v>0</v>
      </c>
      <c r="E20" s="420"/>
    </row>
    <row r="21" spans="1:8" x14ac:dyDescent="0.25">
      <c r="B21" s="182"/>
      <c r="C21" s="263" t="s">
        <v>960</v>
      </c>
      <c r="D21" s="419" t="str">
        <f>'6a. Ext. Wall Areas'!J12</f>
        <v/>
      </c>
      <c r="E21" s="420"/>
    </row>
    <row r="22" spans="1:8" x14ac:dyDescent="0.25">
      <c r="B22" s="182"/>
      <c r="C22" s="263" t="s">
        <v>798</v>
      </c>
      <c r="D22" s="413"/>
      <c r="E22" s="415"/>
    </row>
    <row r="23" spans="1:8" x14ac:dyDescent="0.25">
      <c r="B23" s="182"/>
      <c r="C23" s="263" t="s">
        <v>799</v>
      </c>
      <c r="D23" s="413">
        <v>0</v>
      </c>
      <c r="E23" s="415"/>
    </row>
    <row r="24" spans="1:8" x14ac:dyDescent="0.25">
      <c r="B24" s="182"/>
      <c r="C24" s="263" t="s">
        <v>814</v>
      </c>
      <c r="D24" s="419">
        <f>D22-D23</f>
        <v>0</v>
      </c>
      <c r="E24" s="420"/>
    </row>
    <row r="25" spans="1:8" x14ac:dyDescent="0.25">
      <c r="B25" s="182"/>
      <c r="C25" s="263" t="s">
        <v>800</v>
      </c>
      <c r="D25" s="413"/>
      <c r="E25" s="415"/>
    </row>
    <row r="26" spans="1:8" x14ac:dyDescent="0.25">
      <c r="B26" s="182"/>
      <c r="C26" s="263" t="s">
        <v>744</v>
      </c>
      <c r="D26" s="419">
        <f>'1,2,3 Information'!C28</f>
        <v>0</v>
      </c>
      <c r="E26" s="420"/>
    </row>
    <row r="27" spans="1:8" x14ac:dyDescent="0.25">
      <c r="B27" s="182"/>
      <c r="C27" s="263" t="s">
        <v>746</v>
      </c>
      <c r="D27" s="419">
        <f>'1,2,3 Information'!C29</f>
        <v>0</v>
      </c>
      <c r="E27" s="420"/>
    </row>
    <row r="28" spans="1:8" x14ac:dyDescent="0.25">
      <c r="B28" s="182"/>
      <c r="C28" s="263" t="s">
        <v>924</v>
      </c>
      <c r="D28" s="419">
        <f>'1,2,3 Information'!C30</f>
        <v>0</v>
      </c>
      <c r="E28" s="420"/>
    </row>
    <row r="29" spans="1:8" ht="15.75" thickBot="1" x14ac:dyDescent="0.3">
      <c r="B29" s="183"/>
      <c r="C29" s="262" t="s">
        <v>774</v>
      </c>
      <c r="D29" s="416"/>
      <c r="E29" s="418"/>
    </row>
    <row r="31" spans="1:8" ht="15.75" thickBot="1" x14ac:dyDescent="0.3"/>
    <row r="32" spans="1:8" ht="30.75" customHeight="1" thickBot="1" x14ac:dyDescent="0.3">
      <c r="B32" s="404" t="s">
        <v>925</v>
      </c>
      <c r="C32" s="405"/>
      <c r="D32" s="406"/>
      <c r="F32" s="404" t="s">
        <v>775</v>
      </c>
      <c r="G32" s="405"/>
      <c r="H32" s="406"/>
    </row>
    <row r="33" spans="2:8" x14ac:dyDescent="0.25">
      <c r="B33" s="236"/>
      <c r="C33" s="323" t="s">
        <v>961</v>
      </c>
      <c r="D33" s="244"/>
      <c r="F33" s="232"/>
      <c r="G33" s="231" t="s">
        <v>967</v>
      </c>
      <c r="H33" s="246" t="str">
        <f>'GSG Avg Rotations'!K22</f>
        <v/>
      </c>
    </row>
    <row r="34" spans="2:8" x14ac:dyDescent="0.25">
      <c r="B34" s="236"/>
      <c r="C34" s="322" t="s">
        <v>962</v>
      </c>
      <c r="D34" s="244"/>
      <c r="F34" s="232"/>
      <c r="G34" s="231" t="s">
        <v>968</v>
      </c>
      <c r="H34" s="246" t="str">
        <f>'GSG Avg Rotations'!K23</f>
        <v/>
      </c>
    </row>
    <row r="35" spans="2:8" x14ac:dyDescent="0.25">
      <c r="B35" s="236"/>
      <c r="C35" s="322" t="s">
        <v>963</v>
      </c>
      <c r="D35" s="246">
        <f>'4. Purchased Energy Rates'!E8-'SCA Exec Summary'!D33</f>
        <v>0</v>
      </c>
      <c r="F35" s="232"/>
      <c r="G35" s="231" t="s">
        <v>969</v>
      </c>
      <c r="H35" s="246">
        <f>'4. Purchased Energy Rates'!G8</f>
        <v>0</v>
      </c>
    </row>
    <row r="36" spans="2:8" x14ac:dyDescent="0.25">
      <c r="B36" s="236"/>
      <c r="C36" s="322" t="s">
        <v>964</v>
      </c>
      <c r="D36" s="246">
        <f>'4. Purchased Energy Rates'!E9-'SCA Exec Summary'!D34</f>
        <v>0</v>
      </c>
      <c r="F36" s="232"/>
      <c r="G36" s="231" t="s">
        <v>970</v>
      </c>
      <c r="H36" s="246">
        <f>'4. Purchased Energy Rates'!G9</f>
        <v>0</v>
      </c>
    </row>
    <row r="37" spans="2:8" x14ac:dyDescent="0.25">
      <c r="B37" s="236"/>
      <c r="C37" s="322" t="s">
        <v>965</v>
      </c>
      <c r="D37" s="244"/>
      <c r="F37" s="235"/>
      <c r="G37" s="229" t="s">
        <v>786</v>
      </c>
      <c r="H37" s="246">
        <f>'GSG Avg Rotations'!K26</f>
        <v>0</v>
      </c>
    </row>
    <row r="38" spans="2:8" x14ac:dyDescent="0.25">
      <c r="B38" s="236"/>
      <c r="C38" s="322" t="s">
        <v>966</v>
      </c>
      <c r="D38" s="244"/>
      <c r="F38" s="232"/>
      <c r="G38" s="231" t="s">
        <v>777</v>
      </c>
      <c r="H38" s="246" t="str">
        <f>D43</f>
        <v/>
      </c>
    </row>
    <row r="39" spans="2:8" x14ac:dyDescent="0.25">
      <c r="B39" s="236"/>
      <c r="C39" s="322" t="s">
        <v>926</v>
      </c>
      <c r="D39" s="246">
        <f>D33+D34</f>
        <v>0</v>
      </c>
      <c r="F39" s="232"/>
      <c r="G39" s="231" t="s">
        <v>779</v>
      </c>
      <c r="H39" s="249" t="str">
        <f>IFERROR((H37-H38)/H37,"")</f>
        <v/>
      </c>
    </row>
    <row r="40" spans="2:8" x14ac:dyDescent="0.25">
      <c r="B40" s="236"/>
      <c r="C40" s="322" t="s">
        <v>776</v>
      </c>
      <c r="D40" s="246">
        <f>D38+D37</f>
        <v>0</v>
      </c>
      <c r="F40" s="232"/>
      <c r="G40" s="231" t="s">
        <v>787</v>
      </c>
      <c r="H40" s="248">
        <f>IFERROR(('SCA Usage Summary'!E16*0.00341214+'SCA Usage Summary'!F16*0.1)/'SCA Exec Summary'!D22,0)</f>
        <v>0</v>
      </c>
    </row>
    <row r="41" spans="2:8" x14ac:dyDescent="0.25">
      <c r="B41" s="236"/>
      <c r="C41" s="322" t="s">
        <v>778</v>
      </c>
      <c r="D41" s="249" t="str">
        <f>IFERROR((D39-D40)/D39,"")</f>
        <v/>
      </c>
      <c r="F41" s="232"/>
      <c r="G41" s="231" t="s">
        <v>780</v>
      </c>
      <c r="H41" s="248">
        <f>D46</f>
        <v>0</v>
      </c>
    </row>
    <row r="42" spans="2:8" x14ac:dyDescent="0.25">
      <c r="B42" s="236"/>
      <c r="C42" s="322" t="s">
        <v>927</v>
      </c>
      <c r="D42" s="246" t="str">
        <f>'4. Purchased Energy Rates'!E12</f>
        <v/>
      </c>
      <c r="F42" s="232"/>
      <c r="G42" s="231" t="s">
        <v>781</v>
      </c>
      <c r="H42" s="247" t="str">
        <f>IFERROR((H40-H41)/H40,"")</f>
        <v/>
      </c>
    </row>
    <row r="43" spans="2:8" x14ac:dyDescent="0.25">
      <c r="B43" s="236"/>
      <c r="C43" s="322" t="s">
        <v>777</v>
      </c>
      <c r="D43" s="246" t="str">
        <f>'4. Purchased Energy Rates'!G12</f>
        <v/>
      </c>
      <c r="F43" s="232"/>
      <c r="G43" s="231" t="s">
        <v>788</v>
      </c>
      <c r="H43" s="248" t="e">
        <f>1000*('SCA Usage Summary'!E16*GSG_List!$B$65*0.00341214+'SCA Usage Summary'!F16*GSG_List!$B$66*0.1)/$D$24</f>
        <v>#VALUE!</v>
      </c>
    </row>
    <row r="44" spans="2:8" x14ac:dyDescent="0.25">
      <c r="B44" s="236"/>
      <c r="C44" s="322" t="s">
        <v>779</v>
      </c>
      <c r="D44" s="247" t="str">
        <f>IFERROR((D42-D43)/D42,"")</f>
        <v/>
      </c>
      <c r="F44" s="232"/>
      <c r="G44" s="231" t="s">
        <v>782</v>
      </c>
      <c r="H44" s="248" t="e">
        <f>D49</f>
        <v>#VALUE!</v>
      </c>
    </row>
    <row r="45" spans="2:8" x14ac:dyDescent="0.25">
      <c r="B45" s="236"/>
      <c r="C45" s="322" t="s">
        <v>928</v>
      </c>
      <c r="D45" s="248">
        <f>'1,2,3 Information'!C32</f>
        <v>0</v>
      </c>
      <c r="F45" s="232"/>
      <c r="G45" s="231" t="s">
        <v>783</v>
      </c>
      <c r="H45" s="247" t="str">
        <f>IFERROR((H43-H44)/H43,"")</f>
        <v/>
      </c>
    </row>
    <row r="46" spans="2:8" x14ac:dyDescent="0.25">
      <c r="B46" s="236"/>
      <c r="C46" s="322" t="s">
        <v>780</v>
      </c>
      <c r="D46" s="248">
        <f>'1,2,3 Information'!C31</f>
        <v>0</v>
      </c>
      <c r="F46" s="232"/>
      <c r="G46" s="230"/>
      <c r="H46" s="245"/>
    </row>
    <row r="47" spans="2:8" x14ac:dyDescent="0.25">
      <c r="B47" s="236"/>
      <c r="C47" s="322" t="s">
        <v>781</v>
      </c>
      <c r="D47" s="247" t="str">
        <f>IFERROR((D45-D46)/D45,"")</f>
        <v/>
      </c>
      <c r="F47" s="232"/>
      <c r="G47" s="231" t="s">
        <v>784</v>
      </c>
      <c r="H47" s="245" t="str">
        <f>IF(AND(H39&gt;=GSG_List!C71,OR(D14=GSG_List!A61,D14=GSG_List!A62)),"Compliant",IF(AND(H39&gt;=GSG_List!C93,D14=GSG_List!A63),"Compliant","Not Compliant"))</f>
        <v>Compliant</v>
      </c>
    </row>
    <row r="48" spans="2:8" x14ac:dyDescent="0.25">
      <c r="B48" s="236"/>
      <c r="C48" s="322" t="s">
        <v>929</v>
      </c>
      <c r="D48" s="248" t="e">
        <f>1000*('SCA Usage Summary'!C16*GSG_List!$B$65*0.00341214+'SCA Usage Summary'!D16*GSG_List!$B$66*0.1)/D24</f>
        <v>#VALUE!</v>
      </c>
      <c r="F48" s="232"/>
      <c r="G48" s="231" t="s">
        <v>785</v>
      </c>
      <c r="H48" s="245" t="e">
        <f>IF(OR(D14=GSG_List!A61,D14=GSG_List!A62),VLOOKUP('SCA Exec Summary'!H39,GSG_List!$C$71:$D$87,2,TRUE),VLOOKUP('SCA Exec Summary'!H39,GSG_List!$C$92:$D$111,2,TRUE))</f>
        <v>#N/A</v>
      </c>
    </row>
    <row r="49" spans="2:8" ht="15.75" thickBot="1" x14ac:dyDescent="0.3">
      <c r="B49" s="236"/>
      <c r="C49" s="322" t="s">
        <v>782</v>
      </c>
      <c r="D49" s="248" t="e">
        <f>1000*('SCA Usage Summary'!G16*GSG_List!$B$65*0.00341214+'SCA Usage Summary'!H16*GSG_List!$B$66*0.1)/D24</f>
        <v>#VALUE!</v>
      </c>
      <c r="F49" s="233"/>
      <c r="G49" s="234"/>
      <c r="H49" s="237"/>
    </row>
    <row r="50" spans="2:8" x14ac:dyDescent="0.25">
      <c r="B50" s="236"/>
      <c r="C50" s="322" t="s">
        <v>783</v>
      </c>
      <c r="D50" s="247" t="str">
        <f>IFERROR((D48-D49)/D48,"")</f>
        <v/>
      </c>
    </row>
    <row r="51" spans="2:8" ht="15.75" thickBot="1" x14ac:dyDescent="0.3">
      <c r="B51" s="236"/>
      <c r="C51" s="322" t="s">
        <v>930</v>
      </c>
      <c r="D51" s="274" t="str">
        <f>IF(D41&lt;0.2,"Not compliant", "Compliant")</f>
        <v>Compliant</v>
      </c>
    </row>
    <row r="52" spans="2:8" ht="15.75" thickBot="1" x14ac:dyDescent="0.3">
      <c r="B52" s="236"/>
      <c r="C52" s="322"/>
      <c r="D52" s="274"/>
      <c r="F52" s="404" t="s">
        <v>972</v>
      </c>
      <c r="G52" s="405"/>
      <c r="H52" s="406"/>
    </row>
    <row r="53" spans="2:8" x14ac:dyDescent="0.25">
      <c r="B53" s="236"/>
      <c r="C53" s="322" t="s">
        <v>865</v>
      </c>
      <c r="D53" s="275" t="e">
        <f>(0.000288962*'SCA Usage Summary'!G16+'SCA Usage Summary'!H16*0.005311)</f>
        <v>#VALUE!</v>
      </c>
      <c r="F53" s="232"/>
      <c r="G53" s="231" t="s">
        <v>973</v>
      </c>
      <c r="H53" s="326" t="str">
        <f>IFERROR(('SCA Usage Summary'!E16+'SCA Usage Summary'!C16+'SCA Usage Summary'!G16)/(D33+D35+H35+H33),"")</f>
        <v/>
      </c>
    </row>
    <row r="54" spans="2:8" ht="15.75" thickBot="1" x14ac:dyDescent="0.3">
      <c r="B54" s="233"/>
      <c r="C54" s="324" t="s">
        <v>866</v>
      </c>
      <c r="D54" s="276" t="e">
        <f>D53/D24</f>
        <v>#VALUE!</v>
      </c>
      <c r="F54" s="233"/>
      <c r="G54" s="325" t="s">
        <v>974</v>
      </c>
      <c r="H54" s="237" t="str">
        <f>IFERROR(('SCA Usage Summary'!D16+'SCA Usage Summary'!F16+'SCA Usage Summary'!H16)/(D34+D36+H36+H34),"")</f>
        <v/>
      </c>
    </row>
  </sheetData>
  <mergeCells count="29">
    <mergeCell ref="B11:E11"/>
    <mergeCell ref="D15:E15"/>
    <mergeCell ref="D21:E21"/>
    <mergeCell ref="D29:E29"/>
    <mergeCell ref="D18:E18"/>
    <mergeCell ref="D23:E23"/>
    <mergeCell ref="D25:E25"/>
    <mergeCell ref="D24:E24"/>
    <mergeCell ref="D27:E27"/>
    <mergeCell ref="D26:E26"/>
    <mergeCell ref="D22:E22"/>
    <mergeCell ref="D20:E20"/>
    <mergeCell ref="D19:E19"/>
    <mergeCell ref="F52:H52"/>
    <mergeCell ref="F32:H32"/>
    <mergeCell ref="B32:D32"/>
    <mergeCell ref="B2:E2"/>
    <mergeCell ref="C3:E3"/>
    <mergeCell ref="C4:E4"/>
    <mergeCell ref="C5:E5"/>
    <mergeCell ref="C6:E6"/>
    <mergeCell ref="C7:E7"/>
    <mergeCell ref="C8:E8"/>
    <mergeCell ref="C9:E9"/>
    <mergeCell ref="D12:E12"/>
    <mergeCell ref="D13:E13"/>
    <mergeCell ref="D14:E14"/>
    <mergeCell ref="B17:E17"/>
    <mergeCell ref="D28:E28"/>
  </mergeCells>
  <pageMargins left="0.25" right="0.25" top="0.75" bottom="0.75" header="0.3" footer="0.3"/>
  <pageSetup scale="80" orientation="portrait" r:id="rId1"/>
  <headerFooter>
    <oddHeader>&amp;LNYC SCA&amp;C
&amp;A</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GSG_List!$A$53:$A$54</xm:f>
          </x14:formula1>
          <xm:sqref>D12:E12</xm:sqref>
        </x14:dataValidation>
        <x14:dataValidation type="list" allowBlank="1" showInputMessage="1" showErrorMessage="1">
          <x14:formula1>
            <xm:f>GSG_List!$A$57</xm:f>
          </x14:formula1>
          <xm:sqref>D13:E13</xm:sqref>
        </x14:dataValidation>
        <x14:dataValidation type="list" allowBlank="1" showInputMessage="1" showErrorMessage="1">
          <x14:formula1>
            <xm:f>GSG_List!$A$61:$A$63</xm:f>
          </x14:formula1>
          <xm:sqref>D14:E14</xm:sqref>
        </x14:dataValidation>
        <x14:dataValidation type="list" allowBlank="1" showInputMessage="1" showErrorMessage="1">
          <x14:formula1>
            <xm:f>'GSG LPD'!$J$2:$J$3</xm:f>
          </x14:formula1>
          <xm:sqref>C8:E8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8"/>
  </sheetPr>
  <dimension ref="A1:K20"/>
  <sheetViews>
    <sheetView workbookViewId="0">
      <selection activeCell="C10" sqref="C10"/>
    </sheetView>
  </sheetViews>
  <sheetFormatPr defaultRowHeight="15" x14ac:dyDescent="0.25"/>
  <cols>
    <col min="3" max="3" width="29.7109375" customWidth="1"/>
    <col min="4" max="4" width="12.5703125" customWidth="1"/>
    <col min="8" max="8" width="11.85546875" customWidth="1"/>
    <col min="9" max="9" width="14.5703125" customWidth="1"/>
    <col min="10" max="10" width="13.140625" bestFit="1" customWidth="1"/>
  </cols>
  <sheetData>
    <row r="1" spans="1:11" ht="21" x14ac:dyDescent="0.35">
      <c r="A1" s="284"/>
      <c r="B1" s="287" t="s">
        <v>976</v>
      </c>
      <c r="D1" s="289"/>
      <c r="E1" s="298"/>
      <c r="F1" s="284"/>
    </row>
    <row r="2" spans="1:11" x14ac:dyDescent="0.25">
      <c r="A2" s="284"/>
      <c r="B2" s="327" t="s">
        <v>986</v>
      </c>
      <c r="D2" s="289"/>
      <c r="E2" s="298"/>
      <c r="F2" s="284"/>
    </row>
    <row r="3" spans="1:11" ht="15.75" thickBot="1" x14ac:dyDescent="0.3">
      <c r="A3" s="284"/>
      <c r="B3" s="327"/>
      <c r="D3" s="289"/>
      <c r="E3" s="298"/>
      <c r="F3" s="284"/>
    </row>
    <row r="4" spans="1:11" ht="15.75" thickBot="1" x14ac:dyDescent="0.3">
      <c r="A4" s="284"/>
      <c r="B4" s="360" t="s">
        <v>988</v>
      </c>
      <c r="C4" s="361"/>
      <c r="D4" s="362"/>
      <c r="E4" s="363"/>
      <c r="F4" s="364"/>
      <c r="G4" s="361"/>
      <c r="H4" s="361"/>
      <c r="I4" s="365"/>
    </row>
    <row r="5" spans="1:11" x14ac:dyDescent="0.25">
      <c r="A5" s="284"/>
      <c r="B5" s="327"/>
      <c r="D5" s="289"/>
      <c r="E5" s="298"/>
      <c r="F5" s="284"/>
    </row>
    <row r="6" spans="1:11" x14ac:dyDescent="0.25">
      <c r="A6" s="284"/>
      <c r="B6" s="327" t="str">
        <f>IF(I4="yes","","No additional measures modeled.  This form does not need to be completed")</f>
        <v>No additional measures modeled.  This form does not need to be completed</v>
      </c>
      <c r="D6" s="289"/>
      <c r="E6" s="298"/>
      <c r="F6" s="284"/>
    </row>
    <row r="7" spans="1:11" ht="15.75" thickBot="1" x14ac:dyDescent="0.3">
      <c r="A7" s="284"/>
      <c r="B7" s="288"/>
      <c r="C7" s="288"/>
      <c r="D7" s="289"/>
      <c r="E7" s="298"/>
      <c r="F7" s="284"/>
    </row>
    <row r="8" spans="1:11" x14ac:dyDescent="0.25">
      <c r="A8" s="284"/>
      <c r="B8" s="431" t="s">
        <v>985</v>
      </c>
      <c r="C8" s="334"/>
      <c r="D8" s="423" t="s">
        <v>812</v>
      </c>
      <c r="E8" s="424"/>
      <c r="F8" s="425" t="s">
        <v>813</v>
      </c>
      <c r="G8" s="426"/>
      <c r="H8" s="429" t="s">
        <v>981</v>
      </c>
      <c r="I8" s="427" t="s">
        <v>982</v>
      </c>
      <c r="J8" s="428"/>
    </row>
    <row r="9" spans="1:11" ht="19.5" customHeight="1" thickBot="1" x14ac:dyDescent="0.3">
      <c r="A9" s="284"/>
      <c r="B9" s="432"/>
      <c r="C9" s="335" t="s">
        <v>980</v>
      </c>
      <c r="D9" s="332" t="s">
        <v>977</v>
      </c>
      <c r="E9" s="328" t="s">
        <v>978</v>
      </c>
      <c r="F9" s="339" t="s">
        <v>979</v>
      </c>
      <c r="G9" s="333" t="s">
        <v>978</v>
      </c>
      <c r="H9" s="430"/>
      <c r="I9" s="332" t="s">
        <v>983</v>
      </c>
      <c r="J9" s="328" t="s">
        <v>984</v>
      </c>
      <c r="K9" s="1"/>
    </row>
    <row r="10" spans="1:11" ht="47.25" customHeight="1" x14ac:dyDescent="0.25">
      <c r="A10" s="284"/>
      <c r="B10" s="329">
        <v>0</v>
      </c>
      <c r="C10" s="336" t="s">
        <v>332</v>
      </c>
      <c r="D10" s="340" t="str">
        <f>'5. Usage Summary'!F16</f>
        <v/>
      </c>
      <c r="E10" s="341">
        <f>'SCA Exec Summary'!H35</f>
        <v>0</v>
      </c>
      <c r="F10" s="342" t="str">
        <f>'5. Usage Summary'!G16</f>
        <v/>
      </c>
      <c r="G10" s="343">
        <f>'SCA Exec Summary'!H36</f>
        <v>0</v>
      </c>
      <c r="H10" s="344">
        <f>G10+E10</f>
        <v>0</v>
      </c>
      <c r="I10" s="355" t="e">
        <f>1000*(D10*GSG_List!$B$65*0.00341214+F10*GSG_List!$B$66*0.1)</f>
        <v>#VALUE!</v>
      </c>
      <c r="J10" s="359" t="str">
        <f>IFERROR(I10/'SCA Exec Summary'!$D$24,"")</f>
        <v/>
      </c>
    </row>
    <row r="11" spans="1:11" ht="47.25" customHeight="1" x14ac:dyDescent="0.25">
      <c r="A11" s="284"/>
      <c r="B11" s="330">
        <f>B10+1</f>
        <v>1</v>
      </c>
      <c r="C11" s="337"/>
      <c r="D11" s="345"/>
      <c r="E11" s="346"/>
      <c r="F11" s="347"/>
      <c r="G11" s="348"/>
      <c r="H11" s="349">
        <f>G11+E11</f>
        <v>0</v>
      </c>
      <c r="I11" s="356">
        <f>1000*(D11*GSG_List!$B$65*0.00341214+F11*GSG_List!$B$66*0.1)</f>
        <v>0</v>
      </c>
      <c r="J11" s="359" t="str">
        <f>IFERROR(I11/'SCA Exec Summary'!$D$24,"")</f>
        <v/>
      </c>
    </row>
    <row r="12" spans="1:11" ht="47.25" customHeight="1" x14ac:dyDescent="0.25">
      <c r="A12" s="284"/>
      <c r="B12" s="330">
        <f t="shared" ref="B12:B17" si="0">B11+1</f>
        <v>2</v>
      </c>
      <c r="C12" s="337"/>
      <c r="D12" s="345"/>
      <c r="E12" s="346"/>
      <c r="F12" s="347"/>
      <c r="G12" s="348"/>
      <c r="H12" s="349">
        <f t="shared" ref="H12:H17" si="1">G12+E12</f>
        <v>0</v>
      </c>
      <c r="I12" s="356">
        <f>1000*(D12*GSG_List!$B$65*0.00341214+F12*GSG_List!$B$66*0.1)</f>
        <v>0</v>
      </c>
      <c r="J12" s="359" t="str">
        <f>IFERROR(I12/'SCA Exec Summary'!$D$24,"")</f>
        <v/>
      </c>
    </row>
    <row r="13" spans="1:11" ht="47.25" customHeight="1" x14ac:dyDescent="0.25">
      <c r="A13" s="284"/>
      <c r="B13" s="330">
        <f t="shared" si="0"/>
        <v>3</v>
      </c>
      <c r="C13" s="337"/>
      <c r="D13" s="345"/>
      <c r="E13" s="346"/>
      <c r="F13" s="347"/>
      <c r="G13" s="348"/>
      <c r="H13" s="349">
        <f t="shared" si="1"/>
        <v>0</v>
      </c>
      <c r="I13" s="356">
        <f>1000*(D13*GSG_List!$B$65*0.00341214+F13*GSG_List!$B$66*0.1)</f>
        <v>0</v>
      </c>
      <c r="J13" s="359" t="str">
        <f>IFERROR(I13/'SCA Exec Summary'!$D$24,"")</f>
        <v/>
      </c>
    </row>
    <row r="14" spans="1:11" ht="47.25" customHeight="1" x14ac:dyDescent="0.25">
      <c r="B14" s="330">
        <f t="shared" si="0"/>
        <v>4</v>
      </c>
      <c r="C14" s="337"/>
      <c r="D14" s="345"/>
      <c r="E14" s="346"/>
      <c r="F14" s="347"/>
      <c r="G14" s="348"/>
      <c r="H14" s="349">
        <f t="shared" si="1"/>
        <v>0</v>
      </c>
      <c r="I14" s="356">
        <f>1000*(D14*GSG_List!$B$65*0.00341214+F14*GSG_List!$B$66*0.1)</f>
        <v>0</v>
      </c>
      <c r="J14" s="359" t="str">
        <f>IFERROR(I14/'SCA Exec Summary'!$D$24,"")</f>
        <v/>
      </c>
    </row>
    <row r="15" spans="1:11" ht="47.25" customHeight="1" x14ac:dyDescent="0.25">
      <c r="B15" s="330">
        <f t="shared" si="0"/>
        <v>5</v>
      </c>
      <c r="C15" s="337"/>
      <c r="D15" s="345"/>
      <c r="E15" s="346"/>
      <c r="F15" s="347"/>
      <c r="G15" s="348"/>
      <c r="H15" s="349">
        <f t="shared" si="1"/>
        <v>0</v>
      </c>
      <c r="I15" s="356">
        <f>1000*(D15*GSG_List!$B$65*0.00341214+F15*GSG_List!$B$66*0.1)</f>
        <v>0</v>
      </c>
      <c r="J15" s="359" t="str">
        <f>IFERROR(I15/'SCA Exec Summary'!$D$24,"")</f>
        <v/>
      </c>
    </row>
    <row r="16" spans="1:11" ht="47.25" customHeight="1" x14ac:dyDescent="0.25">
      <c r="B16" s="330">
        <f t="shared" si="0"/>
        <v>6</v>
      </c>
      <c r="C16" s="337"/>
      <c r="D16" s="345"/>
      <c r="E16" s="346"/>
      <c r="F16" s="347"/>
      <c r="G16" s="348"/>
      <c r="H16" s="349">
        <f t="shared" si="1"/>
        <v>0</v>
      </c>
      <c r="I16" s="356">
        <f>1000*(D16*GSG_List!$B$65*0.00341214+F16*GSG_List!$B$66*0.1)</f>
        <v>0</v>
      </c>
      <c r="J16" s="359" t="str">
        <f>IFERROR(I16/'SCA Exec Summary'!$D$24,"")</f>
        <v/>
      </c>
    </row>
    <row r="17" spans="2:10" ht="47.25" customHeight="1" x14ac:dyDescent="0.25">
      <c r="B17" s="330">
        <f t="shared" si="0"/>
        <v>7</v>
      </c>
      <c r="C17" s="337"/>
      <c r="D17" s="345"/>
      <c r="E17" s="346"/>
      <c r="F17" s="347"/>
      <c r="G17" s="348"/>
      <c r="H17" s="349">
        <f t="shared" si="1"/>
        <v>0</v>
      </c>
      <c r="I17" s="356">
        <f>1000*(D17*GSG_List!$B$65*0.00341214+F17*GSG_List!$B$66*0.1)</f>
        <v>0</v>
      </c>
      <c r="J17" s="359" t="str">
        <f>IFERROR(I17/'SCA Exec Summary'!$D$24,"")</f>
        <v/>
      </c>
    </row>
    <row r="18" spans="2:10" ht="47.25" customHeight="1" x14ac:dyDescent="0.25">
      <c r="B18" s="330">
        <f>B17+1</f>
        <v>8</v>
      </c>
      <c r="C18" s="337"/>
      <c r="D18" s="345"/>
      <c r="E18" s="346"/>
      <c r="F18" s="347"/>
      <c r="G18" s="348"/>
      <c r="H18" s="349">
        <f>G18+E18</f>
        <v>0</v>
      </c>
      <c r="I18" s="356">
        <f>1000*(D18*GSG_List!$B$65*0.00341214+F18*GSG_List!$B$66*0.1)</f>
        <v>0</v>
      </c>
      <c r="J18" s="359" t="str">
        <f>IFERROR(I18/'SCA Exec Summary'!$D$24,"")</f>
        <v/>
      </c>
    </row>
    <row r="19" spans="2:10" ht="47.25" customHeight="1" x14ac:dyDescent="0.25">
      <c r="B19" s="330">
        <f t="shared" ref="B19:B20" si="2">B18+1</f>
        <v>9</v>
      </c>
      <c r="C19" s="337"/>
      <c r="D19" s="345"/>
      <c r="E19" s="346"/>
      <c r="F19" s="347"/>
      <c r="G19" s="348"/>
      <c r="H19" s="349">
        <f t="shared" ref="H19:H20" si="3">G19+E19</f>
        <v>0</v>
      </c>
      <c r="I19" s="356">
        <f>1000*(D19*GSG_List!$B$65*0.00341214+F19*GSG_List!$B$66*0.1)</f>
        <v>0</v>
      </c>
      <c r="J19" s="359" t="str">
        <f>IFERROR(I19/'SCA Exec Summary'!$D$24,"")</f>
        <v/>
      </c>
    </row>
    <row r="20" spans="2:10" ht="47.25" customHeight="1" thickBot="1" x14ac:dyDescent="0.3">
      <c r="B20" s="331">
        <f t="shared" si="2"/>
        <v>10</v>
      </c>
      <c r="C20" s="338"/>
      <c r="D20" s="350"/>
      <c r="E20" s="351"/>
      <c r="F20" s="352"/>
      <c r="G20" s="353"/>
      <c r="H20" s="354">
        <f t="shared" si="3"/>
        <v>0</v>
      </c>
      <c r="I20" s="357">
        <f>1000*(D20*GSG_List!$B$65*0.00341214+F20*GSG_List!$B$66*0.1)</f>
        <v>0</v>
      </c>
      <c r="J20" s="358" t="str">
        <f>IFERROR(I20/'SCA Exec Summary'!$D$24,"")</f>
        <v/>
      </c>
    </row>
  </sheetData>
  <mergeCells count="5">
    <mergeCell ref="D8:E8"/>
    <mergeCell ref="F8:G8"/>
    <mergeCell ref="I8:J8"/>
    <mergeCell ref="H8:H9"/>
    <mergeCell ref="B8:B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GSG_List!$N$1:$N$2</xm:f>
          </x14:formula1>
          <xm:sqref>I4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sheetPr>
  <dimension ref="A3:J32"/>
  <sheetViews>
    <sheetView view="pageLayout" topLeftCell="A28" zoomScaleNormal="100" zoomScaleSheetLayoutView="100" workbookViewId="0">
      <selection activeCell="B22" sqref="B22"/>
    </sheetView>
  </sheetViews>
  <sheetFormatPr defaultRowHeight="15" x14ac:dyDescent="0.25"/>
  <cols>
    <col min="1" max="1" width="2.85546875" customWidth="1"/>
    <col min="2" max="2" width="10.5703125" customWidth="1"/>
    <col min="3" max="3" width="10.7109375" customWidth="1"/>
    <col min="4" max="4" width="9.28515625" customWidth="1"/>
    <col min="5" max="5" width="10.7109375" customWidth="1"/>
    <col min="6" max="6" width="9.28515625" customWidth="1"/>
    <col min="7" max="7" width="10.42578125" customWidth="1"/>
    <col min="8" max="8" width="10.7109375" customWidth="1"/>
    <col min="9" max="9" width="8.5703125" customWidth="1"/>
    <col min="10" max="10" width="9.85546875" bestFit="1" customWidth="1"/>
  </cols>
  <sheetData>
    <row r="3" spans="1:10" ht="15.75" customHeight="1" x14ac:dyDescent="0.25">
      <c r="A3" s="195">
        <v>5</v>
      </c>
      <c r="B3" s="403" t="s">
        <v>129</v>
      </c>
      <c r="C3" s="403"/>
      <c r="D3" s="403"/>
      <c r="E3" s="403"/>
      <c r="F3" s="403"/>
      <c r="G3" s="403"/>
      <c r="H3" s="403"/>
      <c r="I3" s="403"/>
      <c r="J3" s="403"/>
    </row>
    <row r="4" spans="1:10" s="2" customFormat="1" ht="22.5" customHeight="1" x14ac:dyDescent="0.2">
      <c r="A4" s="403"/>
      <c r="B4" s="403"/>
      <c r="C4" s="433" t="s">
        <v>921</v>
      </c>
      <c r="D4" s="433"/>
      <c r="E4" s="433" t="s">
        <v>767</v>
      </c>
      <c r="F4" s="433"/>
      <c r="G4" s="196" t="s">
        <v>131</v>
      </c>
      <c r="H4" s="197"/>
      <c r="I4" s="197"/>
      <c r="J4" s="198"/>
    </row>
    <row r="5" spans="1:10" s="2" customFormat="1" ht="54.75" customHeight="1" x14ac:dyDescent="0.2">
      <c r="A5" s="392"/>
      <c r="B5" s="392"/>
      <c r="C5" s="191" t="s">
        <v>132</v>
      </c>
      <c r="D5" s="191" t="s">
        <v>686</v>
      </c>
      <c r="E5" s="191" t="s">
        <v>132</v>
      </c>
      <c r="F5" s="191" t="s">
        <v>686</v>
      </c>
      <c r="G5" s="191" t="s">
        <v>132</v>
      </c>
      <c r="H5" s="191" t="s">
        <v>686</v>
      </c>
      <c r="I5" s="191" t="s">
        <v>922</v>
      </c>
      <c r="J5" s="191" t="s">
        <v>768</v>
      </c>
    </row>
    <row r="6" spans="1:10" s="2" customFormat="1" ht="15" customHeight="1" x14ac:dyDescent="0.2">
      <c r="A6" s="392" t="s">
        <v>134</v>
      </c>
      <c r="B6" s="392"/>
      <c r="C6" s="138" t="str">
        <f>IF('5. Usage Summary'!C6="","",'5. Usage Summary'!C6)</f>
        <v/>
      </c>
      <c r="D6" s="138">
        <f>IF('5. Usage Summary'!D6="",0,'5. Usage Summary'!D6)</f>
        <v>0</v>
      </c>
      <c r="E6" s="138">
        <f>IF('GSG Avg Rotations'!K9="","",'GSG Avg Rotations'!K9)</f>
        <v>0</v>
      </c>
      <c r="F6" s="138">
        <f>IF('GSG Avg Rotations'!L9="","",'GSG Avg Rotations'!L9)</f>
        <v>0</v>
      </c>
      <c r="G6" s="139" t="str">
        <f>IF('5. Usage Summary'!F6="","",'5. Usage Summary'!F6)</f>
        <v/>
      </c>
      <c r="H6" s="139">
        <f>IF('5. Usage Summary'!G6="",0,'5. Usage Summary'!G6)</f>
        <v>0</v>
      </c>
      <c r="I6" s="283" t="e">
        <f t="shared" ref="I6:I14" si="0">IF(AND(C6=0,D6=0),0,((C6-G6)*0.00341214+(D6-H6)*0.1)/(($C$16-$G$16)*0.00341214+($D$16-$H$16)*0.1))</f>
        <v>#VALUE!</v>
      </c>
      <c r="J6" s="283">
        <f>IFERROR(IF(AND(E6=0,F6=0),0,((E6-G6)*0.00341214+(F6-H6)*0.1)/(($E$16-$G$16)*0.00341214+($F$16-$H$16)*0.1)),"")</f>
        <v>0</v>
      </c>
    </row>
    <row r="7" spans="1:10" s="2" customFormat="1" ht="15" customHeight="1" x14ac:dyDescent="0.2">
      <c r="A7" s="392" t="s">
        <v>135</v>
      </c>
      <c r="B7" s="392"/>
      <c r="C7" s="138" t="str">
        <f>IF('5. Usage Summary'!C7="","",'5. Usage Summary'!C7)</f>
        <v/>
      </c>
      <c r="D7" s="138">
        <f>IF('5. Usage Summary'!D7="",0,'5. Usage Summary'!D7)</f>
        <v>0</v>
      </c>
      <c r="E7" s="138">
        <f>IF('GSG Avg Rotations'!K10="","",'GSG Avg Rotations'!K10)</f>
        <v>0</v>
      </c>
      <c r="F7" s="138">
        <f>IF('GSG Avg Rotations'!L10="","",'GSG Avg Rotations'!L10)</f>
        <v>0</v>
      </c>
      <c r="G7" s="139" t="str">
        <f>IF('5. Usage Summary'!F7="","",'5. Usage Summary'!F7)</f>
        <v/>
      </c>
      <c r="H7" s="139">
        <f>IF('5. Usage Summary'!G7="",0,'5. Usage Summary'!G7)</f>
        <v>0</v>
      </c>
      <c r="I7" s="283" t="e">
        <f t="shared" si="0"/>
        <v>#VALUE!</v>
      </c>
      <c r="J7" s="283">
        <f t="shared" ref="J7:J15" si="1">IFERROR(IF(AND(E7=0,F7=0),0,((E7-G7)*0.00341214+(F7-H7)*0.1)/(($E$16-$G$16)*0.00341214+($F$16-$H$16)*0.1)),"")</f>
        <v>0</v>
      </c>
    </row>
    <row r="8" spans="1:10" s="2" customFormat="1" ht="15" customHeight="1" x14ac:dyDescent="0.2">
      <c r="A8" s="392" t="s">
        <v>136</v>
      </c>
      <c r="B8" s="392"/>
      <c r="C8" s="138" t="str">
        <f>IF('5. Usage Summary'!C8="","",'5. Usage Summary'!C8)</f>
        <v/>
      </c>
      <c r="D8" s="138">
        <f>IF('5. Usage Summary'!D8="",0,'5. Usage Summary'!D8)</f>
        <v>0</v>
      </c>
      <c r="E8" s="138">
        <f>IF('GSG Avg Rotations'!K11="","",'GSG Avg Rotations'!K11)</f>
        <v>0</v>
      </c>
      <c r="F8" s="138">
        <f>IF('GSG Avg Rotations'!L11="","",'GSG Avg Rotations'!L11)</f>
        <v>0</v>
      </c>
      <c r="G8" s="139" t="str">
        <f>IF('5. Usage Summary'!F8="","",'5. Usage Summary'!F8)</f>
        <v/>
      </c>
      <c r="H8" s="139">
        <f>IF('5. Usage Summary'!G8="",0,'5. Usage Summary'!G8)</f>
        <v>0</v>
      </c>
      <c r="I8" s="283" t="e">
        <f t="shared" si="0"/>
        <v>#VALUE!</v>
      </c>
      <c r="J8" s="283">
        <f t="shared" si="1"/>
        <v>0</v>
      </c>
    </row>
    <row r="9" spans="1:10" s="2" customFormat="1" ht="15" customHeight="1" x14ac:dyDescent="0.2">
      <c r="A9" s="392" t="s">
        <v>137</v>
      </c>
      <c r="B9" s="392"/>
      <c r="C9" s="138" t="str">
        <f>IF('5. Usage Summary'!C9="","",'5. Usage Summary'!C9)</f>
        <v/>
      </c>
      <c r="D9" s="138">
        <f>IF('5. Usage Summary'!D9="",0,'5. Usage Summary'!D9)</f>
        <v>0</v>
      </c>
      <c r="E9" s="138">
        <f>IF('GSG Avg Rotations'!K12="","",'GSG Avg Rotations'!K12)</f>
        <v>0</v>
      </c>
      <c r="F9" s="138">
        <f>IF('GSG Avg Rotations'!L12="","",'GSG Avg Rotations'!L12)</f>
        <v>0</v>
      </c>
      <c r="G9" s="139" t="str">
        <f>IF('5. Usage Summary'!F9="","",'5. Usage Summary'!F9)</f>
        <v/>
      </c>
      <c r="H9" s="139">
        <f>IF('5. Usage Summary'!G9="",0,'5. Usage Summary'!G9)</f>
        <v>0</v>
      </c>
      <c r="I9" s="283" t="e">
        <f t="shared" si="0"/>
        <v>#VALUE!</v>
      </c>
      <c r="J9" s="283">
        <f t="shared" si="1"/>
        <v>0</v>
      </c>
    </row>
    <row r="10" spans="1:10" ht="15" customHeight="1" x14ac:dyDescent="0.25">
      <c r="A10" s="392" t="s">
        <v>138</v>
      </c>
      <c r="B10" s="392"/>
      <c r="C10" s="138" t="str">
        <f>IF('5. Usage Summary'!C10="","",'5. Usage Summary'!C10)</f>
        <v/>
      </c>
      <c r="D10" s="138">
        <f>IF('5. Usage Summary'!D10="",0,'5. Usage Summary'!D10)</f>
        <v>0</v>
      </c>
      <c r="E10" s="138">
        <f>IF('GSG Avg Rotations'!K13="","",'GSG Avg Rotations'!K13)</f>
        <v>0</v>
      </c>
      <c r="F10" s="138">
        <f>IF('GSG Avg Rotations'!L13="","",'GSG Avg Rotations'!L13)</f>
        <v>0</v>
      </c>
      <c r="G10" s="139" t="str">
        <f>IF('5. Usage Summary'!F10="","",'5. Usage Summary'!F10)</f>
        <v/>
      </c>
      <c r="H10" s="139">
        <f>IF('5. Usage Summary'!G10="",0,'5. Usage Summary'!G10)</f>
        <v>0</v>
      </c>
      <c r="I10" s="283" t="e">
        <f t="shared" si="0"/>
        <v>#VALUE!</v>
      </c>
      <c r="J10" s="283">
        <f t="shared" si="1"/>
        <v>0</v>
      </c>
    </row>
    <row r="11" spans="1:10" ht="15" customHeight="1" x14ac:dyDescent="0.25">
      <c r="A11" s="392" t="s">
        <v>139</v>
      </c>
      <c r="B11" s="392"/>
      <c r="C11" s="138" t="str">
        <f>IF('5. Usage Summary'!C11="","",'5. Usage Summary'!C11)</f>
        <v/>
      </c>
      <c r="D11" s="138">
        <f>IF('5. Usage Summary'!D11="",0,'5. Usage Summary'!D11)</f>
        <v>0</v>
      </c>
      <c r="E11" s="138">
        <f>IF('GSG Avg Rotations'!K14="","",'GSG Avg Rotations'!K14)</f>
        <v>0</v>
      </c>
      <c r="F11" s="138">
        <f>IF('GSG Avg Rotations'!L14="","",'GSG Avg Rotations'!L14)</f>
        <v>0</v>
      </c>
      <c r="G11" s="139" t="str">
        <f>IF('5. Usage Summary'!F11="","",'5. Usage Summary'!F11)</f>
        <v/>
      </c>
      <c r="H11" s="139">
        <f>IF('5. Usage Summary'!G11="",0,'5. Usage Summary'!G11)</f>
        <v>0</v>
      </c>
      <c r="I11" s="283" t="e">
        <f t="shared" si="0"/>
        <v>#VALUE!</v>
      </c>
      <c r="J11" s="283">
        <f t="shared" si="1"/>
        <v>0</v>
      </c>
    </row>
    <row r="12" spans="1:10" ht="15" customHeight="1" x14ac:dyDescent="0.25">
      <c r="A12" s="392" t="s">
        <v>140</v>
      </c>
      <c r="B12" s="392"/>
      <c r="C12" s="138" t="str">
        <f>IF('5. Usage Summary'!C12="","",'5. Usage Summary'!C12)</f>
        <v/>
      </c>
      <c r="D12" s="138">
        <f>IF('5. Usage Summary'!D12="",0,'5. Usage Summary'!D12)</f>
        <v>0</v>
      </c>
      <c r="E12" s="138">
        <f>IF('GSG Avg Rotations'!K15="","",'GSG Avg Rotations'!K15)</f>
        <v>0</v>
      </c>
      <c r="F12" s="138">
        <f>IF('GSG Avg Rotations'!L15="","",'GSG Avg Rotations'!L15)</f>
        <v>0</v>
      </c>
      <c r="G12" s="139" t="str">
        <f>IF('5. Usage Summary'!F12="","",'5. Usage Summary'!F12)</f>
        <v/>
      </c>
      <c r="H12" s="139">
        <f>IF('5. Usage Summary'!G12="",0,'5. Usage Summary'!G12)</f>
        <v>0</v>
      </c>
      <c r="I12" s="283" t="e">
        <f t="shared" si="0"/>
        <v>#VALUE!</v>
      </c>
      <c r="J12" s="283">
        <f t="shared" si="1"/>
        <v>0</v>
      </c>
    </row>
    <row r="13" spans="1:10" ht="15" customHeight="1" x14ac:dyDescent="0.25">
      <c r="A13" s="392" t="s">
        <v>141</v>
      </c>
      <c r="B13" s="392"/>
      <c r="C13" s="138" t="str">
        <f>IF('5. Usage Summary'!C13="","",'5. Usage Summary'!C13)</f>
        <v/>
      </c>
      <c r="D13" s="138">
        <f>IF('5. Usage Summary'!D13="",0,'5. Usage Summary'!D13)</f>
        <v>0</v>
      </c>
      <c r="E13" s="138">
        <f>IF('GSG Avg Rotations'!K16="","",'GSG Avg Rotations'!K16)</f>
        <v>0</v>
      </c>
      <c r="F13" s="138">
        <f>IF('GSG Avg Rotations'!L16="","",'GSG Avg Rotations'!L16)</f>
        <v>0</v>
      </c>
      <c r="G13" s="139" t="str">
        <f>IF('5. Usage Summary'!F13="","",'5. Usage Summary'!F13)</f>
        <v/>
      </c>
      <c r="H13" s="139">
        <f>IF('5. Usage Summary'!G13="",0,'5. Usage Summary'!G13)</f>
        <v>0</v>
      </c>
      <c r="I13" s="283" t="e">
        <f t="shared" si="0"/>
        <v>#VALUE!</v>
      </c>
      <c r="J13" s="283">
        <f t="shared" si="1"/>
        <v>0</v>
      </c>
    </row>
    <row r="14" spans="1:10" ht="15" customHeight="1" x14ac:dyDescent="0.25">
      <c r="A14" s="392" t="s">
        <v>142</v>
      </c>
      <c r="B14" s="392"/>
      <c r="C14" s="138" t="str">
        <f>IF('5. Usage Summary'!C14="","",'5. Usage Summary'!C14)</f>
        <v/>
      </c>
      <c r="D14" s="138">
        <f>IF('5. Usage Summary'!D14="",0,'5. Usage Summary'!D14)</f>
        <v>0</v>
      </c>
      <c r="E14" s="138">
        <f>IF('GSG Avg Rotations'!K17="","",'GSG Avg Rotations'!K17)</f>
        <v>0</v>
      </c>
      <c r="F14" s="138">
        <f>IF('GSG Avg Rotations'!L17="","",'GSG Avg Rotations'!L17)</f>
        <v>0</v>
      </c>
      <c r="G14" s="139" t="str">
        <f>IF('5. Usage Summary'!F14="","",'5. Usage Summary'!F14)</f>
        <v/>
      </c>
      <c r="H14" s="139">
        <f>IF('5. Usage Summary'!G14="",0,'5. Usage Summary'!G14)</f>
        <v>0</v>
      </c>
      <c r="I14" s="283" t="e">
        <f t="shared" si="0"/>
        <v>#VALUE!</v>
      </c>
      <c r="J14" s="283">
        <f t="shared" si="1"/>
        <v>0</v>
      </c>
    </row>
    <row r="15" spans="1:10" ht="15" customHeight="1" x14ac:dyDescent="0.25">
      <c r="A15" s="392" t="s">
        <v>143</v>
      </c>
      <c r="B15" s="392"/>
      <c r="C15" s="138">
        <f>IF('5. Usage Summary'!C15="",0,'5. Usage Summary'!C15)</f>
        <v>0</v>
      </c>
      <c r="D15" s="138">
        <f>IF('5. Usage Summary'!D15="",0,'5. Usage Summary'!D15)</f>
        <v>0</v>
      </c>
      <c r="E15" s="138">
        <f>IF('GSG Avg Rotations'!K18="","",'GSG Avg Rotations'!K18)</f>
        <v>0</v>
      </c>
      <c r="F15" s="138">
        <f>IF('GSG Avg Rotations'!L18="","",'GSG Avg Rotations'!L18)</f>
        <v>0</v>
      </c>
      <c r="G15" s="139" t="str">
        <f>IF('5. Usage Summary'!F15="","",'5. Usage Summary'!F15)</f>
        <v/>
      </c>
      <c r="H15" s="139">
        <f>IF('5. Usage Summary'!G15="",0,'5. Usage Summary'!G15)</f>
        <v>0</v>
      </c>
      <c r="I15" s="283">
        <f>IF(AND(C15=0,D15=0),0,((C15-G15)*0.00341214+(D15-H15)*0.1)/(($C$16-$G$16)*0.00341214+($D$16-$H$16)*0.1))</f>
        <v>0</v>
      </c>
      <c r="J15" s="283">
        <f t="shared" si="1"/>
        <v>0</v>
      </c>
    </row>
    <row r="16" spans="1:10" ht="15" customHeight="1" x14ac:dyDescent="0.25">
      <c r="A16" s="403" t="s">
        <v>128</v>
      </c>
      <c r="B16" s="403"/>
      <c r="C16" s="146" t="str">
        <f t="shared" ref="C16:G16" si="2">IF(SUM(C6:C15)=0,"",SUM(C6:C15))</f>
        <v/>
      </c>
      <c r="D16" s="146" t="str">
        <f t="shared" si="2"/>
        <v/>
      </c>
      <c r="E16" s="146" t="str">
        <f>IF(SUM(E6:E15)=0,"",SUM(E6:E15))</f>
        <v/>
      </c>
      <c r="F16" s="146" t="str">
        <f t="shared" ref="F16" si="3">IF(SUM(F6:F15)=0,"",SUM(F6:F15))</f>
        <v/>
      </c>
      <c r="G16" s="146" t="str">
        <f t="shared" si="2"/>
        <v/>
      </c>
      <c r="H16" s="146" t="str">
        <f>IF(SUM(H7:H15)=0,"",SUM(H7:H15))</f>
        <v/>
      </c>
      <c r="I16" s="283" t="str">
        <f>IF(AND(C16="",D16=""),"",((C16-G16)*0.00341214+(D16-H16)*0.1)/(($C$16-$G$16)*0.00341214+($D$16-$H$16)*0.1))</f>
        <v/>
      </c>
      <c r="J16" s="283">
        <f>SUM(J6:J15)</f>
        <v>0</v>
      </c>
    </row>
    <row r="17" spans="1:10" ht="15" customHeight="1" x14ac:dyDescent="0.25">
      <c r="A17" s="391"/>
      <c r="B17" s="391"/>
      <c r="C17" s="391"/>
      <c r="D17" s="391"/>
      <c r="E17" s="391"/>
      <c r="F17" s="391"/>
      <c r="G17" s="391"/>
      <c r="H17" s="391"/>
      <c r="I17" s="391"/>
      <c r="J17" s="434"/>
    </row>
    <row r="18" spans="1:10" x14ac:dyDescent="0.25">
      <c r="A18" s="118"/>
      <c r="B18" s="119"/>
      <c r="C18" s="119"/>
      <c r="D18" s="119"/>
      <c r="E18" s="119"/>
      <c r="F18" s="119"/>
      <c r="G18" s="119"/>
      <c r="H18" s="119"/>
      <c r="I18" s="119"/>
      <c r="J18" s="120"/>
    </row>
    <row r="19" spans="1:10" x14ac:dyDescent="0.25">
      <c r="A19" s="269" t="s">
        <v>560</v>
      </c>
      <c r="B19" s="403" t="s">
        <v>561</v>
      </c>
      <c r="C19" s="403"/>
      <c r="D19" s="403"/>
      <c r="E19" s="403"/>
      <c r="F19" s="403"/>
      <c r="G19" s="403"/>
      <c r="H19" s="403"/>
      <c r="I19" s="403"/>
      <c r="J19" s="403"/>
    </row>
    <row r="20" spans="1:10" x14ac:dyDescent="0.25">
      <c r="A20" s="81"/>
      <c r="B20" s="272" t="s">
        <v>562</v>
      </c>
      <c r="C20" s="130"/>
      <c r="D20" s="130"/>
      <c r="E20" s="130"/>
      <c r="F20" s="130"/>
      <c r="G20" s="130"/>
      <c r="H20" s="130"/>
      <c r="I20" s="130"/>
      <c r="J20" s="131"/>
    </row>
    <row r="21" spans="1:10" x14ac:dyDescent="0.25">
      <c r="A21" s="82"/>
      <c r="B21" s="142" t="s">
        <v>971</v>
      </c>
      <c r="C21" s="142"/>
      <c r="D21" s="142"/>
      <c r="E21" s="142"/>
      <c r="F21" s="142"/>
      <c r="G21" s="142"/>
      <c r="H21" s="142"/>
      <c r="I21" s="142"/>
      <c r="J21" s="143"/>
    </row>
    <row r="22" spans="1:10" x14ac:dyDescent="0.25">
      <c r="A22" s="82"/>
      <c r="B22" s="142"/>
      <c r="C22" s="142"/>
      <c r="D22" s="142"/>
      <c r="E22" s="142"/>
      <c r="F22" s="142"/>
      <c r="G22" s="142"/>
      <c r="H22" s="142"/>
      <c r="I22" s="142"/>
      <c r="J22" s="143"/>
    </row>
    <row r="23" spans="1:10" x14ac:dyDescent="0.25">
      <c r="A23" s="82"/>
      <c r="B23" s="142"/>
      <c r="C23" s="142"/>
      <c r="D23" s="142"/>
      <c r="E23" s="142"/>
      <c r="F23" s="142"/>
      <c r="G23" s="142"/>
      <c r="H23" s="142"/>
      <c r="I23" s="142"/>
      <c r="J23" s="143"/>
    </row>
    <row r="24" spans="1:10" x14ac:dyDescent="0.25">
      <c r="A24" s="82"/>
      <c r="B24" s="142"/>
      <c r="C24" s="142"/>
      <c r="D24" s="142"/>
      <c r="E24" s="142"/>
      <c r="F24" s="142"/>
      <c r="G24" s="142"/>
      <c r="H24" s="142"/>
      <c r="I24" s="142"/>
      <c r="J24" s="143"/>
    </row>
    <row r="25" spans="1:10" x14ac:dyDescent="0.25">
      <c r="A25" s="82"/>
      <c r="B25" s="142"/>
      <c r="C25" s="142"/>
      <c r="D25" s="142"/>
      <c r="E25" s="142"/>
      <c r="F25" s="142"/>
      <c r="G25" s="142"/>
      <c r="H25" s="142"/>
      <c r="I25" s="142"/>
      <c r="J25" s="143"/>
    </row>
    <row r="26" spans="1:10" x14ac:dyDescent="0.25">
      <c r="A26" s="82"/>
      <c r="B26" s="142"/>
      <c r="C26" s="142"/>
      <c r="D26" s="142"/>
      <c r="E26" s="142"/>
      <c r="F26" s="142"/>
      <c r="G26" s="142"/>
      <c r="H26" s="142"/>
      <c r="I26" s="142"/>
      <c r="J26" s="143"/>
    </row>
    <row r="27" spans="1:10" x14ac:dyDescent="0.25">
      <c r="A27" s="82"/>
      <c r="B27" s="142"/>
      <c r="C27" s="142"/>
      <c r="D27" s="142"/>
      <c r="E27" s="142"/>
      <c r="F27" s="142"/>
      <c r="G27" s="142"/>
      <c r="H27" s="142"/>
      <c r="I27" s="142"/>
      <c r="J27" s="143"/>
    </row>
    <row r="28" spans="1:10" x14ac:dyDescent="0.25">
      <c r="A28" s="82"/>
      <c r="B28" s="142"/>
      <c r="C28" s="142"/>
      <c r="D28" s="142"/>
      <c r="E28" s="142"/>
      <c r="F28" s="142"/>
      <c r="G28" s="142"/>
      <c r="H28" s="142"/>
      <c r="I28" s="142"/>
      <c r="J28" s="143"/>
    </row>
    <row r="29" spans="1:10" x14ac:dyDescent="0.25">
      <c r="A29" s="82"/>
      <c r="B29" s="142"/>
      <c r="C29" s="142"/>
      <c r="D29" s="142"/>
      <c r="E29" s="142"/>
      <c r="F29" s="142"/>
      <c r="G29" s="142"/>
      <c r="H29" s="142"/>
      <c r="I29" s="142"/>
      <c r="J29" s="143"/>
    </row>
    <row r="30" spans="1:10" x14ac:dyDescent="0.25">
      <c r="A30" s="82"/>
      <c r="B30" s="142"/>
      <c r="C30" s="142"/>
      <c r="D30" s="142"/>
      <c r="E30" s="142"/>
      <c r="F30" s="142"/>
      <c r="G30" s="142"/>
      <c r="H30" s="142"/>
      <c r="I30" s="142"/>
      <c r="J30" s="143"/>
    </row>
    <row r="31" spans="1:10" x14ac:dyDescent="0.25">
      <c r="A31" s="82"/>
      <c r="B31" s="142"/>
      <c r="C31" s="142"/>
      <c r="D31" s="142"/>
      <c r="E31" s="142"/>
      <c r="F31" s="142"/>
      <c r="G31" s="142"/>
      <c r="H31" s="142"/>
      <c r="I31" s="142"/>
      <c r="J31" s="143"/>
    </row>
    <row r="32" spans="1:10" x14ac:dyDescent="0.25">
      <c r="A32" s="83"/>
      <c r="B32" s="144"/>
      <c r="C32" s="144"/>
      <c r="D32" s="144"/>
      <c r="E32" s="144"/>
      <c r="F32" s="144"/>
      <c r="G32" s="144"/>
      <c r="H32" s="144"/>
      <c r="I32" s="144"/>
      <c r="J32" s="145"/>
    </row>
  </sheetData>
  <mergeCells count="18">
    <mergeCell ref="A13:B13"/>
    <mergeCell ref="A14:B14"/>
    <mergeCell ref="A15:B15"/>
    <mergeCell ref="A16:B16"/>
    <mergeCell ref="B19:J19"/>
    <mergeCell ref="A17:J17"/>
    <mergeCell ref="A12:B12"/>
    <mergeCell ref="B3:J3"/>
    <mergeCell ref="A4:B4"/>
    <mergeCell ref="C4:D4"/>
    <mergeCell ref="E4:F4"/>
    <mergeCell ref="A5:B5"/>
    <mergeCell ref="A6:B6"/>
    <mergeCell ref="A7:B7"/>
    <mergeCell ref="A8:B8"/>
    <mergeCell ref="A9:B9"/>
    <mergeCell ref="A10:B10"/>
    <mergeCell ref="A11:B11"/>
  </mergeCells>
  <pageMargins left="0.25" right="0.25" top="0.75" bottom="0.75" header="0.3" footer="0.3"/>
  <pageSetup scale="80" orientation="portrait" r:id="rId1"/>
  <headerFooter>
    <oddHeader>&amp;LNYC SCA&amp;C&amp;A</oddHeader>
    <oddFooter xml:space="preserve">&amp;R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8"/>
  </sheetPr>
  <dimension ref="A3:O16"/>
  <sheetViews>
    <sheetView view="pageLayout" zoomScale="90" zoomScaleNormal="100" zoomScaleSheetLayoutView="100" zoomScalePageLayoutView="90" workbookViewId="0">
      <selection activeCell="L6" sqref="L6"/>
    </sheetView>
  </sheetViews>
  <sheetFormatPr defaultRowHeight="15" x14ac:dyDescent="0.25"/>
  <cols>
    <col min="1" max="1" width="3.5703125" customWidth="1"/>
    <col min="2" max="2" width="5.28515625" customWidth="1"/>
    <col min="3" max="3" width="2.140625" customWidth="1"/>
    <col min="4" max="4" width="17.42578125" customWidth="1"/>
    <col min="5" max="6" width="6.7109375" bestFit="1" customWidth="1"/>
    <col min="7" max="7" width="5.7109375" customWidth="1"/>
    <col min="8" max="8" width="17.42578125" customWidth="1"/>
    <col min="9" max="10" width="6.7109375" bestFit="1" customWidth="1"/>
    <col min="11" max="11" width="5.7109375" customWidth="1"/>
    <col min="12" max="12" width="10.7109375" customWidth="1"/>
    <col min="13" max="13" width="5.5703125" customWidth="1"/>
    <col min="14" max="15" width="5.7109375" customWidth="1"/>
  </cols>
  <sheetData>
    <row r="3" spans="1:15" ht="15.75" customHeight="1" x14ac:dyDescent="0.25">
      <c r="A3" s="207" t="s">
        <v>693</v>
      </c>
      <c r="B3" s="436" t="s">
        <v>145</v>
      </c>
      <c r="C3" s="437"/>
      <c r="D3" s="437"/>
      <c r="E3" s="437"/>
      <c r="F3" s="437"/>
      <c r="G3" s="437"/>
      <c r="H3" s="437"/>
      <c r="I3" s="437"/>
      <c r="J3" s="437"/>
      <c r="K3" s="437"/>
      <c r="L3" s="437"/>
      <c r="M3" s="437"/>
      <c r="N3" s="437"/>
      <c r="O3" s="437"/>
    </row>
    <row r="4" spans="1:15" s="2" customFormat="1" ht="22.5" customHeight="1" x14ac:dyDescent="0.2">
      <c r="A4" s="435" t="s">
        <v>0</v>
      </c>
      <c r="B4" s="435"/>
      <c r="C4" s="202"/>
      <c r="D4" s="435" t="s">
        <v>921</v>
      </c>
      <c r="E4" s="435"/>
      <c r="F4" s="435"/>
      <c r="G4" s="435"/>
      <c r="H4" s="435" t="s">
        <v>767</v>
      </c>
      <c r="I4" s="435"/>
      <c r="J4" s="435"/>
      <c r="K4" s="435"/>
      <c r="L4" s="435" t="s">
        <v>24</v>
      </c>
      <c r="M4" s="435"/>
      <c r="N4" s="435"/>
      <c r="O4" s="435"/>
    </row>
    <row r="5" spans="1:15" s="2" customFormat="1" ht="22.5" x14ac:dyDescent="0.2">
      <c r="A5" s="435"/>
      <c r="B5" s="435"/>
      <c r="C5" s="206" t="s">
        <v>147</v>
      </c>
      <c r="D5" s="202" t="s">
        <v>157</v>
      </c>
      <c r="E5" s="202" t="s">
        <v>154</v>
      </c>
      <c r="F5" s="202" t="s">
        <v>114</v>
      </c>
      <c r="G5" s="202" t="s">
        <v>115</v>
      </c>
      <c r="H5" s="202" t="s">
        <v>157</v>
      </c>
      <c r="I5" s="202" t="s">
        <v>154</v>
      </c>
      <c r="J5" s="202" t="s">
        <v>114</v>
      </c>
      <c r="K5" s="202" t="s">
        <v>115</v>
      </c>
      <c r="L5" s="202" t="s">
        <v>148</v>
      </c>
      <c r="M5" s="202" t="s">
        <v>154</v>
      </c>
      <c r="N5" s="202" t="s">
        <v>114</v>
      </c>
      <c r="O5" s="202" t="s">
        <v>115</v>
      </c>
    </row>
    <row r="6" spans="1:15" s="2" customFormat="1" ht="24" customHeight="1" x14ac:dyDescent="0.2">
      <c r="A6" s="435" t="s">
        <v>155</v>
      </c>
      <c r="B6" s="435"/>
      <c r="C6" s="202">
        <v>1</v>
      </c>
      <c r="D6" s="209" t="str">
        <f>IF(ISBLANK('6b. Fenestration'!E6),"",'6b. Fenestration'!E6)</f>
        <v/>
      </c>
      <c r="E6" s="226" t="str">
        <f>'6b. Fenestration'!F6</f>
        <v/>
      </c>
      <c r="F6" s="226" t="str">
        <f>'6b. Fenestration'!G6</f>
        <v/>
      </c>
      <c r="G6" s="226" t="str">
        <f>'6b. Fenestration'!H6</f>
        <v/>
      </c>
      <c r="H6" s="205"/>
      <c r="I6" s="94" t="str">
        <f>IF(H6="","",INDEX(GSG_List!$A$4:$D$8,(MATCH($H6,GSG_List!$A$4:$A$8,0)),2))</f>
        <v/>
      </c>
      <c r="J6" s="95" t="str">
        <f>IF(H6="","",INDEX(GSG_List!$A$10:$D$14,(MATCH($H6,GSG_List!$A$10:$A$14,0)),2))</f>
        <v/>
      </c>
      <c r="K6" s="95" t="str">
        <f>IFERROR(1.1*J6,"")</f>
        <v/>
      </c>
      <c r="L6" s="199" t="str">
        <f>IF(ISBLANK('6b. Fenestration'!I6),"",'6b. Fenestration'!I6)</f>
        <v/>
      </c>
      <c r="M6" s="199" t="str">
        <f>IF(ISBLANK('6b. Fenestration'!J6),"",'6b. Fenestration'!J6)</f>
        <v/>
      </c>
      <c r="N6" s="199" t="str">
        <f>IF(ISBLANK('6b. Fenestration'!K6),"",'6b. Fenestration'!K6)</f>
        <v/>
      </c>
      <c r="O6" s="199" t="str">
        <f>IF(ISBLANK('6b. Fenestration'!L6),"",'6b. Fenestration'!L6)</f>
        <v/>
      </c>
    </row>
    <row r="7" spans="1:15" s="2" customFormat="1" ht="24" customHeight="1" x14ac:dyDescent="0.2">
      <c r="A7" s="435" t="s">
        <v>155</v>
      </c>
      <c r="B7" s="435"/>
      <c r="C7" s="202">
        <v>2</v>
      </c>
      <c r="D7" s="209" t="str">
        <f>IF(ISBLANK('6b. Fenestration'!E7),"",'6b. Fenestration'!E7)</f>
        <v/>
      </c>
      <c r="E7" s="226" t="str">
        <f>'6b. Fenestration'!F7</f>
        <v/>
      </c>
      <c r="F7" s="226" t="str">
        <f>'6b. Fenestration'!G7</f>
        <v/>
      </c>
      <c r="G7" s="226" t="str">
        <f>'6b. Fenestration'!H7</f>
        <v/>
      </c>
      <c r="H7" s="205"/>
      <c r="I7" s="94" t="str">
        <f>IF(H7="","",INDEX(GSG_List!$A$4:$D$8,(MATCH($H7,GSG_List!$A$4:$A$8,0)),2))</f>
        <v/>
      </c>
      <c r="J7" s="95" t="str">
        <f>IF(H7="","",INDEX(GSG_List!$A$10:$D$14,(MATCH($H7,GSG_List!$A$10:$A$14,0)),2))</f>
        <v/>
      </c>
      <c r="K7" s="95" t="str">
        <f t="shared" ref="K7:K14" si="0">IFERROR(1.1*J7,"")</f>
        <v/>
      </c>
      <c r="L7" s="199" t="str">
        <f>IF(ISBLANK('6b. Fenestration'!I7),"",'6b. Fenestration'!I7)</f>
        <v/>
      </c>
      <c r="M7" s="199" t="str">
        <f>IF(ISBLANK('6b. Fenestration'!J7),"",'6b. Fenestration'!J7)</f>
        <v/>
      </c>
      <c r="N7" s="199" t="str">
        <f>IF(ISBLANK('6b. Fenestration'!K7),"",'6b. Fenestration'!K7)</f>
        <v/>
      </c>
      <c r="O7" s="199" t="str">
        <f>IF(ISBLANK('6b. Fenestration'!L7),"",'6b. Fenestration'!L7)</f>
        <v/>
      </c>
    </row>
    <row r="8" spans="1:15" s="2" customFormat="1" ht="24" customHeight="1" x14ac:dyDescent="0.2">
      <c r="A8" s="435" t="s">
        <v>155</v>
      </c>
      <c r="B8" s="435"/>
      <c r="C8" s="202">
        <v>3</v>
      </c>
      <c r="D8" s="209" t="str">
        <f>IF(ISBLANK('6b. Fenestration'!E8),"",'6b. Fenestration'!E8)</f>
        <v/>
      </c>
      <c r="E8" s="226" t="str">
        <f>'6b. Fenestration'!F8</f>
        <v/>
      </c>
      <c r="F8" s="226" t="str">
        <f>'6b. Fenestration'!G8</f>
        <v/>
      </c>
      <c r="G8" s="226" t="str">
        <f>'6b. Fenestration'!H8</f>
        <v/>
      </c>
      <c r="H8" s="205"/>
      <c r="I8" s="94" t="str">
        <f>IF(H8="","",INDEX(GSG_List!$A$4:$D$8,(MATCH($H8,GSG_List!$A$4:$A$8,0)),2))</f>
        <v/>
      </c>
      <c r="J8" s="95" t="str">
        <f>IF(H8="","",INDEX(GSG_List!$A$10:$D$14,(MATCH($H8,GSG_List!$A$10:$A$14,0)),2))</f>
        <v/>
      </c>
      <c r="K8" s="95" t="str">
        <f t="shared" si="0"/>
        <v/>
      </c>
      <c r="L8" s="199" t="str">
        <f>IF(ISBLANK('6b. Fenestration'!I8),"",'6b. Fenestration'!I8)</f>
        <v/>
      </c>
      <c r="M8" s="199" t="str">
        <f>IF(ISBLANK('6b. Fenestration'!J8),"",'6b. Fenestration'!J8)</f>
        <v/>
      </c>
      <c r="N8" s="199" t="str">
        <f>IF(ISBLANK('6b. Fenestration'!K8),"",'6b. Fenestration'!K8)</f>
        <v/>
      </c>
      <c r="O8" s="199" t="str">
        <f>IF(ISBLANK('6b. Fenestration'!L8),"",'6b. Fenestration'!L8)</f>
        <v/>
      </c>
    </row>
    <row r="9" spans="1:15" s="2" customFormat="1" ht="24" customHeight="1" x14ac:dyDescent="0.2">
      <c r="A9" s="435" t="s">
        <v>155</v>
      </c>
      <c r="B9" s="435"/>
      <c r="C9" s="202">
        <v>4</v>
      </c>
      <c r="D9" s="209" t="str">
        <f>IF(ISBLANK('6b. Fenestration'!E9),"",'6b. Fenestration'!E9)</f>
        <v/>
      </c>
      <c r="E9" s="226" t="str">
        <f>'6b. Fenestration'!F9</f>
        <v/>
      </c>
      <c r="F9" s="226" t="str">
        <f>'6b. Fenestration'!G9</f>
        <v/>
      </c>
      <c r="G9" s="226" t="str">
        <f>'6b. Fenestration'!H9</f>
        <v/>
      </c>
      <c r="H9" s="205"/>
      <c r="I9" s="94" t="str">
        <f>IF(H9="","",INDEX(GSG_List!$A$4:$D$8,(MATCH($H9,GSG_List!$A$4:$A$8,0)),2))</f>
        <v/>
      </c>
      <c r="J9" s="95" t="str">
        <f>IF(H9="","",INDEX(GSG_List!$A$10:$D$14,(MATCH($H9,GSG_List!$A$10:$A$14,0)),2))</f>
        <v/>
      </c>
      <c r="K9" s="95" t="str">
        <f t="shared" si="0"/>
        <v/>
      </c>
      <c r="L9" s="199" t="str">
        <f>IF(ISBLANK('6b. Fenestration'!I9),"",'6b. Fenestration'!I9)</f>
        <v/>
      </c>
      <c r="M9" s="199" t="str">
        <f>IF(ISBLANK('6b. Fenestration'!J9),"",'6b. Fenestration'!J9)</f>
        <v/>
      </c>
      <c r="N9" s="199" t="str">
        <f>IF(ISBLANK('6b. Fenestration'!K9),"",'6b. Fenestration'!K9)</f>
        <v/>
      </c>
      <c r="O9" s="199" t="str">
        <f>IF(ISBLANK('6b. Fenestration'!L9),"",'6b. Fenestration'!L9)</f>
        <v/>
      </c>
    </row>
    <row r="10" spans="1:15" s="2" customFormat="1" ht="24" customHeight="1" x14ac:dyDescent="0.2">
      <c r="A10" s="435" t="s">
        <v>155</v>
      </c>
      <c r="B10" s="435"/>
      <c r="C10" s="202">
        <v>5</v>
      </c>
      <c r="D10" s="209" t="str">
        <f>IF(ISBLANK('6b. Fenestration'!E10),"",'6b. Fenestration'!E10)</f>
        <v/>
      </c>
      <c r="E10" s="226" t="str">
        <f>'6b. Fenestration'!F10</f>
        <v/>
      </c>
      <c r="F10" s="226" t="str">
        <f>'6b. Fenestration'!G10</f>
        <v/>
      </c>
      <c r="G10" s="226" t="str">
        <f>'6b. Fenestration'!H10</f>
        <v/>
      </c>
      <c r="H10" s="205"/>
      <c r="I10" s="94" t="str">
        <f>IF(H10="","",INDEX(GSG_List!$A$4:$D$8,(MATCH($H10,GSG_List!$A$4:$A$8,0)),2))</f>
        <v/>
      </c>
      <c r="J10" s="95" t="str">
        <f>IF(H10="","",INDEX(GSG_List!$A$10:$D$14,(MATCH($H10,GSG_List!$A$10:$A$14,0)),2))</f>
        <v/>
      </c>
      <c r="K10" s="95" t="str">
        <f t="shared" si="0"/>
        <v/>
      </c>
      <c r="L10" s="199" t="str">
        <f>IF(ISBLANK('6b. Fenestration'!I10),"",'6b. Fenestration'!I10)</f>
        <v/>
      </c>
      <c r="M10" s="199" t="str">
        <f>IF(ISBLANK('6b. Fenestration'!J10),"",'6b. Fenestration'!J10)</f>
        <v/>
      </c>
      <c r="N10" s="199" t="str">
        <f>IF(ISBLANK('6b. Fenestration'!K10),"",'6b. Fenestration'!K10)</f>
        <v/>
      </c>
      <c r="O10" s="199" t="str">
        <f>IF(ISBLANK('6b. Fenestration'!L10),"",'6b. Fenestration'!L10)</f>
        <v/>
      </c>
    </row>
    <row r="11" spans="1:15" ht="24" customHeight="1" x14ac:dyDescent="0.25">
      <c r="A11" s="435" t="s">
        <v>155</v>
      </c>
      <c r="B11" s="435"/>
      <c r="C11" s="202">
        <v>6</v>
      </c>
      <c r="D11" s="209" t="str">
        <f>IF(ISBLANK('6b. Fenestration'!E11),"",'6b. Fenestration'!E11)</f>
        <v/>
      </c>
      <c r="E11" s="226" t="str">
        <f>'6b. Fenestration'!F11</f>
        <v/>
      </c>
      <c r="F11" s="226" t="str">
        <f>'6b. Fenestration'!G11</f>
        <v/>
      </c>
      <c r="G11" s="226" t="str">
        <f>'6b. Fenestration'!H11</f>
        <v/>
      </c>
      <c r="H11" s="205"/>
      <c r="I11" s="94" t="str">
        <f>IF(H11="","",INDEX(GSG_List!$A$4:$D$8,(MATCH($H11,GSG_List!$A$4:$A$8,0)),2))</f>
        <v/>
      </c>
      <c r="J11" s="95" t="str">
        <f>IF(H11="","",INDEX(GSG_List!$A$10:$D$14,(MATCH($H11,GSG_List!$A$10:$A$14,0)),2))</f>
        <v/>
      </c>
      <c r="K11" s="95" t="str">
        <f t="shared" si="0"/>
        <v/>
      </c>
      <c r="L11" s="199" t="str">
        <f>IF(ISBLANK('6b. Fenestration'!I11),"",'6b. Fenestration'!I11)</f>
        <v/>
      </c>
      <c r="M11" s="199" t="str">
        <f>IF(ISBLANK('6b. Fenestration'!J11),"",'6b. Fenestration'!J11)</f>
        <v/>
      </c>
      <c r="N11" s="199" t="str">
        <f>IF(ISBLANK('6b. Fenestration'!K11),"",'6b. Fenestration'!K11)</f>
        <v/>
      </c>
      <c r="O11" s="199" t="str">
        <f>IF(ISBLANK('6b. Fenestration'!L11),"",'6b. Fenestration'!L11)</f>
        <v/>
      </c>
    </row>
    <row r="12" spans="1:15" ht="24" customHeight="1" x14ac:dyDescent="0.25">
      <c r="A12" s="435" t="s">
        <v>155</v>
      </c>
      <c r="B12" s="435"/>
      <c r="C12" s="202">
        <v>7</v>
      </c>
      <c r="D12" s="209" t="str">
        <f>IF(ISBLANK('6b. Fenestration'!E12),"",'6b. Fenestration'!E12)</f>
        <v/>
      </c>
      <c r="E12" s="226" t="str">
        <f>'6b. Fenestration'!F12</f>
        <v/>
      </c>
      <c r="F12" s="226" t="str">
        <f>'6b. Fenestration'!G12</f>
        <v/>
      </c>
      <c r="G12" s="226" t="str">
        <f>'6b. Fenestration'!H12</f>
        <v/>
      </c>
      <c r="H12" s="205"/>
      <c r="I12" s="94" t="str">
        <f>IF(H12="","",INDEX(GSG_List!$A$4:$D$8,(MATCH($H12,GSG_List!$A$4:$A$8,0)),2))</f>
        <v/>
      </c>
      <c r="J12" s="95" t="str">
        <f>IF(H12="","",INDEX(GSG_List!$A$10:$D$14,(MATCH($H12,GSG_List!$A$10:$A$14,0)),2))</f>
        <v/>
      </c>
      <c r="K12" s="95" t="str">
        <f t="shared" si="0"/>
        <v/>
      </c>
      <c r="L12" s="199" t="str">
        <f>IF(ISBLANK('6b. Fenestration'!I12),"",'6b. Fenestration'!I12)</f>
        <v/>
      </c>
      <c r="M12" s="199" t="str">
        <f>IF(ISBLANK('6b. Fenestration'!J12),"",'6b. Fenestration'!J12)</f>
        <v/>
      </c>
      <c r="N12" s="199" t="str">
        <f>IF(ISBLANK('6b. Fenestration'!K12),"",'6b. Fenestration'!K12)</f>
        <v/>
      </c>
      <c r="O12" s="199" t="str">
        <f>IF(ISBLANK('6b. Fenestration'!L12),"",'6b. Fenestration'!L12)</f>
        <v/>
      </c>
    </row>
    <row r="13" spans="1:15" ht="24" customHeight="1" x14ac:dyDescent="0.25">
      <c r="A13" s="435" t="s">
        <v>156</v>
      </c>
      <c r="B13" s="435"/>
      <c r="C13" s="202">
        <v>1</v>
      </c>
      <c r="D13" s="209" t="str">
        <f>IF(ISBLANK('6b. Fenestration'!E13),"",'6b. Fenestration'!E13)</f>
        <v/>
      </c>
      <c r="E13" s="226" t="str">
        <f>'6b. Fenestration'!F13</f>
        <v/>
      </c>
      <c r="F13" s="226" t="str">
        <f>'6b. Fenestration'!G13</f>
        <v/>
      </c>
      <c r="G13" s="226" t="str">
        <f>'6b. Fenestration'!H13</f>
        <v/>
      </c>
      <c r="H13" s="205"/>
      <c r="I13" s="94" t="str">
        <f>IF(H13="","",INDEX(GSG_List!$A$4:$D$8,(MATCH($H13,GSG_List!$A$4:$A$8,0)),2))</f>
        <v/>
      </c>
      <c r="J13" s="95" t="str">
        <f>IF(H13="","",INDEX(GSG_List!$A$10:$D$14,(MATCH($H13,GSG_List!$A$10:$A$14,0)),2))</f>
        <v/>
      </c>
      <c r="K13" s="95" t="str">
        <f t="shared" si="0"/>
        <v/>
      </c>
      <c r="L13" s="199" t="str">
        <f>IF(ISBLANK('6b. Fenestration'!I13),"",'6b. Fenestration'!I13)</f>
        <v/>
      </c>
      <c r="M13" s="199" t="str">
        <f>IF(ISBLANK('6b. Fenestration'!J13),"",'6b. Fenestration'!J13)</f>
        <v/>
      </c>
      <c r="N13" s="199" t="str">
        <f>IF(ISBLANK('6b. Fenestration'!K13),"",'6b. Fenestration'!K13)</f>
        <v/>
      </c>
      <c r="O13" s="199" t="str">
        <f>IF(ISBLANK('6b. Fenestration'!L13),"",'6b. Fenestration'!L13)</f>
        <v/>
      </c>
    </row>
    <row r="14" spans="1:15" ht="24" customHeight="1" x14ac:dyDescent="0.25">
      <c r="A14" s="435" t="s">
        <v>156</v>
      </c>
      <c r="B14" s="435"/>
      <c r="C14" s="202">
        <v>2</v>
      </c>
      <c r="D14" s="209" t="str">
        <f>IF(ISBLANK('6b. Fenestration'!E14),"",'6b. Fenestration'!E14)</f>
        <v/>
      </c>
      <c r="E14" s="226" t="str">
        <f>'6b. Fenestration'!F14</f>
        <v/>
      </c>
      <c r="F14" s="226" t="str">
        <f>'6b. Fenestration'!G14</f>
        <v/>
      </c>
      <c r="G14" s="226" t="str">
        <f>'6b. Fenestration'!H14</f>
        <v/>
      </c>
      <c r="H14" s="205"/>
      <c r="I14" s="94" t="str">
        <f>IF(H14="","",INDEX(GSG_List!$A$4:$D$8,(MATCH($H14,GSG_List!$A$4:$A$8,0)),2))</f>
        <v/>
      </c>
      <c r="J14" s="95" t="str">
        <f>IF(H14="","",INDEX(GSG_List!$A$10:$D$14,(MATCH($H14,GSG_List!$A$10:$A$14,0)),2))</f>
        <v/>
      </c>
      <c r="K14" s="95" t="str">
        <f t="shared" si="0"/>
        <v/>
      </c>
      <c r="L14" s="199" t="str">
        <f>IF(ISBLANK('6b. Fenestration'!I14),"",'6b. Fenestration'!I14)</f>
        <v/>
      </c>
      <c r="M14" s="199" t="str">
        <f>IF(ISBLANK('6b. Fenestration'!J14),"",'6b. Fenestration'!J14)</f>
        <v/>
      </c>
      <c r="N14" s="199" t="str">
        <f>IF(ISBLANK('6b. Fenestration'!K14),"",'6b. Fenestration'!K14)</f>
        <v/>
      </c>
      <c r="O14" s="199" t="str">
        <f>IF(ISBLANK('6b. Fenestration'!L14),"",'6b. Fenestration'!L14)</f>
        <v/>
      </c>
    </row>
    <row r="15" spans="1:15" ht="27" customHeight="1" x14ac:dyDescent="0.25">
      <c r="A15" s="440" t="s">
        <v>116</v>
      </c>
      <c r="B15" s="441"/>
      <c r="C15" s="444"/>
      <c r="D15" s="439" t="s">
        <v>427</v>
      </c>
      <c r="E15" s="439"/>
      <c r="F15" s="439"/>
      <c r="G15" s="439"/>
      <c r="H15" s="439" t="s">
        <v>427</v>
      </c>
      <c r="I15" s="439"/>
      <c r="J15" s="439"/>
      <c r="K15" s="439"/>
      <c r="L15" s="438" t="s">
        <v>117</v>
      </c>
      <c r="M15" s="438"/>
      <c r="N15" s="438"/>
      <c r="O15" s="438"/>
    </row>
    <row r="16" spans="1:15" ht="32.25" customHeight="1" x14ac:dyDescent="0.25">
      <c r="A16" s="442"/>
      <c r="B16" s="443"/>
      <c r="C16" s="444"/>
      <c r="D16" s="439" t="s">
        <v>428</v>
      </c>
      <c r="E16" s="439"/>
      <c r="F16" s="439"/>
      <c r="G16" s="439"/>
      <c r="H16" s="439" t="s">
        <v>428</v>
      </c>
      <c r="I16" s="439"/>
      <c r="J16" s="439"/>
      <c r="K16" s="439"/>
      <c r="L16" s="438"/>
      <c r="M16" s="438"/>
      <c r="N16" s="438"/>
      <c r="O16" s="438"/>
    </row>
  </sheetData>
  <mergeCells count="21">
    <mergeCell ref="L15:O16"/>
    <mergeCell ref="D16:G16"/>
    <mergeCell ref="H16:K16"/>
    <mergeCell ref="A13:B13"/>
    <mergeCell ref="A14:B14"/>
    <mergeCell ref="A15:B16"/>
    <mergeCell ref="C15:C16"/>
    <mergeCell ref="D15:G15"/>
    <mergeCell ref="H15:K15"/>
    <mergeCell ref="A12:B12"/>
    <mergeCell ref="B3:O3"/>
    <mergeCell ref="A4:B5"/>
    <mergeCell ref="D4:G4"/>
    <mergeCell ref="H4:K4"/>
    <mergeCell ref="L4:O4"/>
    <mergeCell ref="A6:B6"/>
    <mergeCell ref="A7:B7"/>
    <mergeCell ref="A8:B8"/>
    <mergeCell ref="A9:B9"/>
    <mergeCell ref="A10:B10"/>
    <mergeCell ref="A11:B11"/>
  </mergeCells>
  <dataValidations disablePrompts="1" count="1">
    <dataValidation type="list" allowBlank="1" showInputMessage="1" showErrorMessage="1" sqref="H6 H7:H9 H11:H12 H10">
      <formula1>GSG_Fenestration</formula1>
    </dataValidation>
  </dataValidations>
  <pageMargins left="0.25" right="0.25" top="0.75" bottom="0.75" header="0.3" footer="0.3"/>
  <pageSetup scale="80" orientation="landscape" r:id="rId1"/>
  <headerFooter>
    <oddHeader>&amp;LNYC SCA&amp;C&amp;A</oddHeader>
    <oddFooter xml:space="preserve">&amp;R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GSG_List!$A$17:$A$18</xm:f>
          </x14:formula1>
          <xm:sqref>H14 H13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sheetPr>
  <dimension ref="A3:K23"/>
  <sheetViews>
    <sheetView view="pageLayout" zoomScaleNormal="100" zoomScaleSheetLayoutView="100" workbookViewId="0">
      <selection activeCell="D9" sqref="D9:E9"/>
    </sheetView>
  </sheetViews>
  <sheetFormatPr defaultRowHeight="15" x14ac:dyDescent="0.25"/>
  <cols>
    <col min="1" max="1" width="11.85546875" customWidth="1"/>
    <col min="2" max="2" width="10.85546875" customWidth="1"/>
    <col min="3" max="3" width="3.85546875" customWidth="1"/>
    <col min="4" max="4" width="19.5703125" customWidth="1"/>
    <col min="5" max="5" width="8.42578125" customWidth="1"/>
    <col min="6" max="6" width="19.5703125" customWidth="1"/>
    <col min="7" max="7" width="8.42578125" customWidth="1"/>
    <col min="8" max="8" width="17.28515625" customWidth="1"/>
    <col min="9" max="10" width="8.5703125" customWidth="1"/>
    <col min="11" max="11" width="5.7109375" customWidth="1"/>
    <col min="12" max="12" width="14.85546875" customWidth="1"/>
    <col min="13" max="13" width="15.140625" customWidth="1"/>
  </cols>
  <sheetData>
    <row r="3" spans="1:11" s="2" customFormat="1" ht="24.75" customHeight="1" x14ac:dyDescent="0.2">
      <c r="A3" s="123"/>
      <c r="B3" s="435" t="s">
        <v>168</v>
      </c>
      <c r="C3" s="446" t="s">
        <v>147</v>
      </c>
      <c r="D3" s="435" t="s">
        <v>921</v>
      </c>
      <c r="E3" s="435"/>
      <c r="F3" s="435" t="s">
        <v>767</v>
      </c>
      <c r="G3" s="435"/>
      <c r="H3" s="435" t="s">
        <v>24</v>
      </c>
      <c r="I3" s="435"/>
      <c r="J3" s="202"/>
      <c r="K3" s="4"/>
    </row>
    <row r="4" spans="1:11" s="2" customFormat="1" ht="44.25" customHeight="1" x14ac:dyDescent="0.2">
      <c r="A4" s="122" t="s">
        <v>0</v>
      </c>
      <c r="B4" s="435"/>
      <c r="C4" s="446"/>
      <c r="D4" s="202" t="s">
        <v>1</v>
      </c>
      <c r="E4" s="202" t="s">
        <v>196</v>
      </c>
      <c r="F4" s="202" t="s">
        <v>1</v>
      </c>
      <c r="G4" s="202" t="s">
        <v>196</v>
      </c>
      <c r="H4" s="202" t="s">
        <v>1</v>
      </c>
      <c r="I4" s="202" t="s">
        <v>159</v>
      </c>
      <c r="J4" s="202" t="s">
        <v>481</v>
      </c>
      <c r="K4" s="4"/>
    </row>
    <row r="5" spans="1:11" s="2" customFormat="1" ht="20.100000000000001" customHeight="1" x14ac:dyDescent="0.2">
      <c r="A5" s="444" t="s">
        <v>160</v>
      </c>
      <c r="B5" s="445" t="str">
        <f>IF(ISBLANK('6c. Wall Types'!B5),"",'6c. Wall Types'!B5)</f>
        <v>Non-Residential</v>
      </c>
      <c r="C5" s="444">
        <v>1</v>
      </c>
      <c r="D5" s="227" t="str">
        <f>IF(ISBLANK('6c. Wall Types'!D5),"",'6c. Wall Types'!D5)</f>
        <v>Insulation Entirely Above Deck</v>
      </c>
      <c r="E5" s="227" t="str">
        <f>IF(ISBLANK('6c. Wall Types'!E5),"",'6c. Wall Types'!E5)</f>
        <v>U-0.032</v>
      </c>
      <c r="F5" s="156" t="s">
        <v>169</v>
      </c>
      <c r="G5" s="96" t="str">
        <f>IF(F5="","",IF(F5="","",INDEX(GSG_List!$A$24:$D$25,(MATCH($F5,GSG_List!$A$24:$A$25,0)),(MATCH($B5,GSG_List!$A$24:$D$24,0)))))</f>
        <v>U-0.048</v>
      </c>
      <c r="H5" s="227" t="str">
        <f>IF(ISBLANK('6c. Wall Types'!F5),"",'6c. Wall Types'!F5)</f>
        <v>Standard SCA Roof</v>
      </c>
      <c r="I5" s="227">
        <f>IF(ISBLANK('6c. Wall Types'!G5),"",'6c. Wall Types'!G5)</f>
        <v>3.2000000000000001E-2</v>
      </c>
      <c r="J5" s="227">
        <f>IF(ISBLANK('6c. Wall Types'!H5),"",'6c. Wall Types'!H5)</f>
        <v>1</v>
      </c>
      <c r="K5" s="4"/>
    </row>
    <row r="6" spans="1:11" s="2" customFormat="1" ht="20.100000000000001" customHeight="1" x14ac:dyDescent="0.2">
      <c r="A6" s="444"/>
      <c r="B6" s="445"/>
      <c r="C6" s="444"/>
      <c r="D6" s="200" t="s">
        <v>161</v>
      </c>
      <c r="E6" s="228" t="str">
        <f>IF(ISBLANK('6c. Wall Types'!E6),"",'6c. Wall Types'!E6)</f>
        <v>SR =</v>
      </c>
      <c r="F6" s="200" t="s">
        <v>161</v>
      </c>
      <c r="G6" s="201" t="s">
        <v>162</v>
      </c>
      <c r="H6" s="200" t="s">
        <v>161</v>
      </c>
      <c r="I6" s="227" t="str">
        <f>IF(ISBLANK('6c. Wall Types'!G6),"",'6c. Wall Types'!G6)</f>
        <v/>
      </c>
      <c r="J6" s="227" t="str">
        <f>IF(ISBLANK('6c. Wall Types'!H6),"",'6c. Wall Types'!H6)</f>
        <v/>
      </c>
      <c r="K6" s="4"/>
    </row>
    <row r="7" spans="1:11" s="2" customFormat="1" ht="20.100000000000001" customHeight="1" x14ac:dyDescent="0.2">
      <c r="A7" s="444"/>
      <c r="B7" s="445" t="str">
        <f>IF(ISBLANK('6c. Wall Types'!B7),"",'6c. Wall Types'!B7)</f>
        <v/>
      </c>
      <c r="C7" s="444">
        <v>2</v>
      </c>
      <c r="D7" s="227" t="str">
        <f>IF(ISBLANK('6c. Wall Types'!D7),"",'6c. Wall Types'!D7)</f>
        <v/>
      </c>
      <c r="E7" s="227" t="str">
        <f>IF(ISBLANK('6c. Wall Types'!E7),"",'6c. Wall Types'!E7)</f>
        <v/>
      </c>
      <c r="F7" s="156"/>
      <c r="G7" s="96" t="str">
        <f>IF(F7="","",IF(F7="","",INDEX(GSG_List!$A$24:$D$25,(MATCH($F7,GSG_List!$A$24:$A$25,0)),(MATCH($B7,GSG_List!$A$24:$D$24,0)))))</f>
        <v/>
      </c>
      <c r="H7" s="227" t="str">
        <f>IF(ISBLANK('6c. Wall Types'!F7),"",'6c. Wall Types'!F7)</f>
        <v/>
      </c>
      <c r="I7" s="227" t="str">
        <f>IF(ISBLANK('6c. Wall Types'!G7),"",'6c. Wall Types'!G7)</f>
        <v/>
      </c>
      <c r="J7" s="227" t="str">
        <f>IF(ISBLANK('6c. Wall Types'!H7),"",'6c. Wall Types'!H7)</f>
        <v/>
      </c>
      <c r="K7" s="4"/>
    </row>
    <row r="8" spans="1:11" s="2" customFormat="1" ht="20.100000000000001" customHeight="1" x14ac:dyDescent="0.2">
      <c r="A8" s="444"/>
      <c r="B8" s="445"/>
      <c r="C8" s="444"/>
      <c r="D8" s="200" t="s">
        <v>161</v>
      </c>
      <c r="E8" s="228" t="str">
        <f>IF(ISBLANK('6c. Wall Types'!E8),"",'6c. Wall Types'!E8)</f>
        <v>SR =</v>
      </c>
      <c r="F8" s="200" t="s">
        <v>161</v>
      </c>
      <c r="G8" s="14" t="s">
        <v>162</v>
      </c>
      <c r="H8" s="200" t="s">
        <v>161</v>
      </c>
      <c r="I8" s="227" t="str">
        <f>IF(ISBLANK('6c. Wall Types'!G8),"",'6c. Wall Types'!G8)</f>
        <v/>
      </c>
      <c r="J8" s="227" t="str">
        <f>IF(ISBLANK('6c. Wall Types'!H8),"",'6c. Wall Types'!H8)</f>
        <v/>
      </c>
      <c r="K8" s="4"/>
    </row>
    <row r="9" spans="1:11" s="2" customFormat="1" ht="20.100000000000001" customHeight="1" x14ac:dyDescent="0.2">
      <c r="A9" s="435" t="s">
        <v>163</v>
      </c>
      <c r="B9" s="227" t="str">
        <f>IF(ISBLANK('6c. Wall Types'!B9),"",'6c. Wall Types'!B9)</f>
        <v>Non-Residential</v>
      </c>
      <c r="C9" s="200">
        <v>1</v>
      </c>
      <c r="D9" s="227" t="str">
        <f>IF(ISBLANK('6c. Wall Types'!D9),"",'6c. Wall Types'!D9)</f>
        <v>Mass</v>
      </c>
      <c r="E9" s="227" t="str">
        <f>IF(ISBLANK('6c. Wall Types'!E9),"",'6c. Wall Types'!E9)</f>
        <v>U-0.104</v>
      </c>
      <c r="F9" s="156" t="s">
        <v>173</v>
      </c>
      <c r="G9" s="96" t="str">
        <f>IF(OR(F9="",B9 = ""),"",IF(F9="","",INDEX(GSG_List!$A$26:$D$27,(MATCH($F9,GSG_List!$A$26:$A$27,0)),(MATCH($B9,GSG_List!$A$26:$D$26,0)))))</f>
        <v>U-0.064</v>
      </c>
      <c r="H9" s="227" t="str">
        <f>IF(ISBLANK('6c. Wall Types'!F9),"",'6c. Wall Types'!F9)</f>
        <v>Standard SCA Mass Wall</v>
      </c>
      <c r="I9" s="227">
        <f>IF(ISBLANK('6c. Wall Types'!G9),"",'6c. Wall Types'!G9)</f>
        <v>0.122</v>
      </c>
      <c r="J9" s="227">
        <f>IF(ISBLANK('6c. Wall Types'!H9),"",'6c. Wall Types'!H9)</f>
        <v>1</v>
      </c>
      <c r="K9" s="4"/>
    </row>
    <row r="10" spans="1:11" s="2" customFormat="1" ht="20.100000000000001" customHeight="1" x14ac:dyDescent="0.2">
      <c r="A10" s="435"/>
      <c r="B10" s="227" t="str">
        <f>IF(ISBLANK('6c. Wall Types'!B10),"",'6c. Wall Types'!B10)</f>
        <v/>
      </c>
      <c r="C10" s="200">
        <v>2</v>
      </c>
      <c r="D10" s="227" t="str">
        <f>IF(ISBLANK('6c. Wall Types'!D10),"",'6c. Wall Types'!D10)</f>
        <v/>
      </c>
      <c r="E10" s="227" t="str">
        <f>IF(ISBLANK('6c. Wall Types'!E10),"",'6c. Wall Types'!E10)</f>
        <v/>
      </c>
      <c r="F10" s="156"/>
      <c r="G10" s="96" t="str">
        <f>IF(OR(F10="",B10 = ""),"",IF(F10="","",INDEX(GSG_List!$A$26:$D$27,(MATCH($F10,GSG_List!$A$26:$A$27,0)),(MATCH($B10,GSG_List!$A$26:$D$26,0)))))</f>
        <v/>
      </c>
      <c r="H10" s="227" t="str">
        <f>IF(ISBLANK('6c. Wall Types'!F10),"",'6c. Wall Types'!F10)</f>
        <v/>
      </c>
      <c r="I10" s="227" t="str">
        <f>IF(ISBLANK('6c. Wall Types'!G10),"",'6c. Wall Types'!G10)</f>
        <v/>
      </c>
      <c r="J10" s="227" t="str">
        <f>IF(ISBLANK('6c. Wall Types'!H10),"",'6c. Wall Types'!H10)</f>
        <v/>
      </c>
      <c r="K10" s="4"/>
    </row>
    <row r="11" spans="1:11" s="2" customFormat="1" ht="20.100000000000001" customHeight="1" x14ac:dyDescent="0.2">
      <c r="A11" s="435"/>
      <c r="B11" s="227" t="str">
        <f>IF(ISBLANK('6c. Wall Types'!B11),"",'6c. Wall Types'!B11)</f>
        <v/>
      </c>
      <c r="C11" s="200">
        <v>3</v>
      </c>
      <c r="D11" s="227" t="str">
        <f>IF(ISBLANK('6c. Wall Types'!D11),"",'6c. Wall Types'!D11)</f>
        <v/>
      </c>
      <c r="E11" s="227" t="str">
        <f>IF(ISBLANK('6c. Wall Types'!E11),"",'6c. Wall Types'!E11)</f>
        <v/>
      </c>
      <c r="F11" s="156"/>
      <c r="G11" s="96" t="str">
        <f>IF(OR(F11="",B11 = ""),"",IF(F11="","",INDEX(GSG_List!$A$26:$D$27,(MATCH($F11,GSG_List!$A$26:$A$27,0)),(MATCH($B11,GSG_List!$A$26:$D$26,0)))))</f>
        <v/>
      </c>
      <c r="H11" s="227" t="str">
        <f>IF(ISBLANK('6c. Wall Types'!F11),"",'6c. Wall Types'!F11)</f>
        <v/>
      </c>
      <c r="I11" s="227" t="str">
        <f>IF(ISBLANK('6c. Wall Types'!G11),"",'6c. Wall Types'!G11)</f>
        <v/>
      </c>
      <c r="J11" s="227" t="str">
        <f>IF(ISBLANK('6c. Wall Types'!H11),"",'6c. Wall Types'!H11)</f>
        <v/>
      </c>
      <c r="K11" s="4"/>
    </row>
    <row r="12" spans="1:11" s="2" customFormat="1" ht="20.100000000000001" customHeight="1" x14ac:dyDescent="0.2">
      <c r="A12" s="435"/>
      <c r="B12" s="227" t="str">
        <f>IF(ISBLANK('6c. Wall Types'!B12),"",'6c. Wall Types'!B12)</f>
        <v/>
      </c>
      <c r="C12" s="200">
        <v>4</v>
      </c>
      <c r="D12" s="227" t="str">
        <f>IF(ISBLANK('6c. Wall Types'!D12),"",'6c. Wall Types'!D12)</f>
        <v/>
      </c>
      <c r="E12" s="227" t="str">
        <f>IF(ISBLANK('6c. Wall Types'!E12),"",'6c. Wall Types'!E12)</f>
        <v/>
      </c>
      <c r="F12" s="156"/>
      <c r="G12" s="96" t="str">
        <f>IF(OR(F12="",B12 = ""),"",IF(F12="","",INDEX(GSG_List!$A$26:$D$27,(MATCH($F12,GSG_List!$A$26:$A$27,0)),(MATCH($B12,GSG_List!$A$26:$D$26,0)))))</f>
        <v/>
      </c>
      <c r="H12" s="227" t="str">
        <f>IF(ISBLANK('6c. Wall Types'!F12),"",'6c. Wall Types'!F12)</f>
        <v/>
      </c>
      <c r="I12" s="227" t="str">
        <f>IF(ISBLANK('6c. Wall Types'!G12),"",'6c. Wall Types'!G12)</f>
        <v/>
      </c>
      <c r="J12" s="227" t="str">
        <f>IF(ISBLANK('6c. Wall Types'!H12),"",'6c. Wall Types'!H12)</f>
        <v/>
      </c>
      <c r="K12" s="4"/>
    </row>
    <row r="13" spans="1:11" s="2" customFormat="1" ht="20.100000000000001" customHeight="1" x14ac:dyDescent="0.2">
      <c r="A13" s="435"/>
      <c r="B13" s="227" t="str">
        <f>IF(ISBLANK('6c. Wall Types'!B13),"",'6c. Wall Types'!B13)</f>
        <v/>
      </c>
      <c r="C13" s="200">
        <v>5</v>
      </c>
      <c r="D13" s="227" t="str">
        <f>IF(ISBLANK('6c. Wall Types'!D13),"",'6c. Wall Types'!D13)</f>
        <v/>
      </c>
      <c r="E13" s="227" t="str">
        <f>IF(ISBLANK('6c. Wall Types'!E13),"",'6c. Wall Types'!E13)</f>
        <v/>
      </c>
      <c r="F13" s="156"/>
      <c r="G13" s="96" t="str">
        <f>IF(OR(F13="",B13 = ""),"",IF(F13="","",INDEX(GSG_List!$A$26:$D$27,(MATCH($F13,GSG_List!$A$26:$A$27,0)),(MATCH($B13,GSG_List!$A$26:$D$26,0)))))</f>
        <v/>
      </c>
      <c r="H13" s="227" t="str">
        <f>IF(ISBLANK('6c. Wall Types'!F13),"",'6c. Wall Types'!F13)</f>
        <v/>
      </c>
      <c r="I13" s="227" t="str">
        <f>IF(ISBLANK('6c. Wall Types'!G13),"",'6c. Wall Types'!G13)</f>
        <v/>
      </c>
      <c r="J13" s="227" t="str">
        <f>IF(ISBLANK('6c. Wall Types'!H13),"",'6c. Wall Types'!H13)</f>
        <v/>
      </c>
      <c r="K13" s="4"/>
    </row>
    <row r="14" spans="1:11" s="2" customFormat="1" ht="20.100000000000001" customHeight="1" x14ac:dyDescent="0.2">
      <c r="A14" s="435"/>
      <c r="B14" s="227" t="str">
        <f>IF(ISBLANK('6c. Wall Types'!B14),"",'6c. Wall Types'!B14)</f>
        <v/>
      </c>
      <c r="C14" s="200">
        <v>6</v>
      </c>
      <c r="D14" s="227" t="str">
        <f>IF(ISBLANK('6c. Wall Types'!D14),"",'6c. Wall Types'!D14)</f>
        <v/>
      </c>
      <c r="E14" s="227" t="str">
        <f>IF(ISBLANK('6c. Wall Types'!E14),"",'6c. Wall Types'!E14)</f>
        <v/>
      </c>
      <c r="F14" s="156"/>
      <c r="G14" s="96" t="str">
        <f>IF(OR(F14="",B14 = ""),"",IF(F14="","",INDEX(GSG_List!$A$26:$D$27,(MATCH($F14,GSG_List!$A$26:$A$27,0)),(MATCH($B14,GSG_List!$A$26:$D$26,0)))))</f>
        <v/>
      </c>
      <c r="H14" s="227" t="str">
        <f>IF(ISBLANK('6c. Wall Types'!F14),"",'6c. Wall Types'!F14)</f>
        <v/>
      </c>
      <c r="I14" s="227" t="str">
        <f>IF(ISBLANK('6c. Wall Types'!G14),"",'6c. Wall Types'!G14)</f>
        <v/>
      </c>
      <c r="J14" s="227" t="str">
        <f>IF(ISBLANK('6c. Wall Types'!H14),"",'6c. Wall Types'!H14)</f>
        <v/>
      </c>
      <c r="K14" s="4"/>
    </row>
    <row r="15" spans="1:11" s="2" customFormat="1" ht="20.100000000000001" customHeight="1" x14ac:dyDescent="0.2">
      <c r="A15" s="435"/>
      <c r="B15" s="227" t="str">
        <f>IF(ISBLANK('6c. Wall Types'!B15),"",'6c. Wall Types'!B15)</f>
        <v/>
      </c>
      <c r="C15" s="200">
        <v>7</v>
      </c>
      <c r="D15" s="227" t="str">
        <f>IF(ISBLANK('6c. Wall Types'!D15),"",'6c. Wall Types'!D15)</f>
        <v/>
      </c>
      <c r="E15" s="227" t="str">
        <f>IF(ISBLANK('6c. Wall Types'!E15),"",'6c. Wall Types'!E15)</f>
        <v/>
      </c>
      <c r="F15" s="156"/>
      <c r="G15" s="96" t="str">
        <f>IF(OR(F15="",B15 = ""),"",IF(F15="","",INDEX(GSG_List!$A$26:$D$27,(MATCH($F15,GSG_List!$A$26:$A$27,0)),(MATCH($B15,GSG_List!$A$26:$D$26,0)))))</f>
        <v/>
      </c>
      <c r="H15" s="227" t="str">
        <f>IF(ISBLANK('6c. Wall Types'!F15),"",'6c. Wall Types'!F15)</f>
        <v/>
      </c>
      <c r="I15" s="227" t="str">
        <f>IF(ISBLANK('6c. Wall Types'!G15),"",'6c. Wall Types'!G15)</f>
        <v/>
      </c>
      <c r="J15" s="227" t="str">
        <f>IF(ISBLANK('6c. Wall Types'!H15),"",'6c. Wall Types'!H15)</f>
        <v/>
      </c>
      <c r="K15" s="4"/>
    </row>
    <row r="16" spans="1:11" s="2" customFormat="1" ht="20.100000000000001" customHeight="1" x14ac:dyDescent="0.2">
      <c r="A16" s="435"/>
      <c r="B16" s="227" t="str">
        <f>IF(ISBLANK('6c. Wall Types'!B16),"",'6c. Wall Types'!B16)</f>
        <v/>
      </c>
      <c r="C16" s="200">
        <v>8</v>
      </c>
      <c r="D16" s="227" t="str">
        <f>IF(ISBLANK('6c. Wall Types'!D16),"",'6c. Wall Types'!D16)</f>
        <v/>
      </c>
      <c r="E16" s="227" t="str">
        <f>IF(ISBLANK('6c. Wall Types'!E16),"",'6c. Wall Types'!E16)</f>
        <v/>
      </c>
      <c r="F16" s="156"/>
      <c r="G16" s="96" t="str">
        <f>IF(OR(F16="",B16 = ""),"",IF(F16="","",INDEX(GSG_List!$A$26:$D$27,(MATCH($F16,GSG_List!$A$26:$A$27,0)),(MATCH($B16,GSG_List!$A$26:$D$26,0)))))</f>
        <v/>
      </c>
      <c r="H16" s="227" t="str">
        <f>IF(ISBLANK('6c. Wall Types'!F16),"",'6c. Wall Types'!F16)</f>
        <v/>
      </c>
      <c r="I16" s="227" t="str">
        <f>IF(ISBLANK('6c. Wall Types'!G16),"",'6c. Wall Types'!G16)</f>
        <v/>
      </c>
      <c r="J16" s="227" t="str">
        <f>IF(ISBLANK('6c. Wall Types'!H16),"",'6c. Wall Types'!H16)</f>
        <v/>
      </c>
      <c r="K16" s="4"/>
    </row>
    <row r="17" spans="1:11" s="2" customFormat="1" ht="20.100000000000001" customHeight="1" x14ac:dyDescent="0.2">
      <c r="A17" s="444" t="s">
        <v>164</v>
      </c>
      <c r="B17" s="227" t="str">
        <f>IF(ISBLANK('6c. Wall Types'!B17),"",'6c. Wall Types'!B17)</f>
        <v>Non-Residential</v>
      </c>
      <c r="C17" s="200">
        <v>1</v>
      </c>
      <c r="D17" s="227" t="str">
        <f>IF(ISBLANK('6c. Wall Types'!D17),"",'6c. Wall Types'!D17)</f>
        <v>Below-Grade Wall</v>
      </c>
      <c r="E17" s="227" t="str">
        <f>IF(ISBLANK('6c. Wall Types'!E17),"",'6c. Wall Types'!E17)</f>
        <v>C-0.119</v>
      </c>
      <c r="F17" s="156"/>
      <c r="G17" s="96" t="str">
        <f>IF(F17="","",IF(F17="","",INDEX(GSG_List!$A$28:$D$29,(MATCH($F17,GSG_List!$A$28:$A$29,0)),(MATCH($B17,GSG_List!$A$28:$D$28,0)))))</f>
        <v/>
      </c>
      <c r="H17" s="227" t="str">
        <f>IF(ISBLANK('6c. Wall Types'!F17),"",'6c. Wall Types'!F17)</f>
        <v>Standard SCA Below Grade Wall</v>
      </c>
      <c r="I17" s="227" t="str">
        <f>IF(ISBLANK('6c. Wall Types'!G17),"",'6c. Wall Types'!G17)</f>
        <v>C-0.092</v>
      </c>
      <c r="J17" s="227" t="str">
        <f>IF(ISBLANK('6c. Wall Types'!H17),"",'6c. Wall Types'!H17)</f>
        <v/>
      </c>
      <c r="K17" s="4"/>
    </row>
    <row r="18" spans="1:11" s="2" customFormat="1" ht="20.100000000000001" customHeight="1" x14ac:dyDescent="0.2">
      <c r="A18" s="444"/>
      <c r="B18" s="227" t="str">
        <f>IF(ISBLANK('6c. Wall Types'!B18),"",'6c. Wall Types'!B18)</f>
        <v/>
      </c>
      <c r="C18" s="200">
        <v>2</v>
      </c>
      <c r="D18" s="227" t="str">
        <f>IF(ISBLANK('6c. Wall Types'!D18),"",'6c. Wall Types'!D18)</f>
        <v/>
      </c>
      <c r="E18" s="227" t="str">
        <f>IF(ISBLANK('6c. Wall Types'!E18),"",'6c. Wall Types'!E18)</f>
        <v/>
      </c>
      <c r="F18" s="156"/>
      <c r="G18" s="96" t="str">
        <f>IF(F18="","",IF(F18="","",INDEX(GSG_List!$A$28:$D$29,(MATCH($F18,GSG_List!$A$28:$A$29,0)),(MATCH($B18,GSG_List!$A$28:$D$28,0)))))</f>
        <v/>
      </c>
      <c r="H18" s="227" t="str">
        <f>IF(ISBLANK('6c. Wall Types'!F18),"",'6c. Wall Types'!F18)</f>
        <v/>
      </c>
      <c r="I18" s="227" t="str">
        <f>IF(ISBLANK('6c. Wall Types'!G18),"",'6c. Wall Types'!G18)</f>
        <v/>
      </c>
      <c r="J18" s="227" t="str">
        <f>IF(ISBLANK('6c. Wall Types'!H18),"",'6c. Wall Types'!H18)</f>
        <v/>
      </c>
      <c r="K18" s="4"/>
    </row>
    <row r="19" spans="1:11" s="2" customFormat="1" ht="27" customHeight="1" x14ac:dyDescent="0.2">
      <c r="A19" s="200" t="s">
        <v>165</v>
      </c>
      <c r="B19" s="227" t="str">
        <f>IF(ISBLANK('6c. Wall Types'!B19),"",'6c. Wall Types'!B19)</f>
        <v/>
      </c>
      <c r="C19" s="200">
        <v>1</v>
      </c>
      <c r="D19" s="227" t="str">
        <f>IF(ISBLANK('6c. Wall Types'!D19),"",'6c. Wall Types'!D19)</f>
        <v/>
      </c>
      <c r="E19" s="227" t="str">
        <f>IF(ISBLANK('6c. Wall Types'!E19),"",'6c. Wall Types'!E19)</f>
        <v/>
      </c>
      <c r="F19" s="156"/>
      <c r="G19" s="96" t="str">
        <f>IF(F19="","",IF(F19="","",INDEX(GSG_List!$A$30:$D$33,(MATCH($F19,GSG_List!$A$30:$A$33,0)),(MATCH($B19,GSG_List!$A$30:$D$30,0)))))</f>
        <v/>
      </c>
      <c r="H19" s="227" t="str">
        <f>IF(ISBLANK('6c. Wall Types'!F19),"",'6c. Wall Types'!F19)</f>
        <v/>
      </c>
      <c r="I19" s="227" t="str">
        <f>IF(ISBLANK('6c. Wall Types'!G19),"",'6c. Wall Types'!G19)</f>
        <v/>
      </c>
      <c r="J19" s="227" t="str">
        <f>IF(ISBLANK('6c. Wall Types'!H19),"",'6c. Wall Types'!H19)</f>
        <v/>
      </c>
      <c r="K19" s="4"/>
    </row>
    <row r="20" spans="1:11" s="2" customFormat="1" ht="21" customHeight="1" x14ac:dyDescent="0.2">
      <c r="A20" s="200" t="s">
        <v>166</v>
      </c>
      <c r="B20" s="227" t="str">
        <f>IF(ISBLANK('6c. Wall Types'!B20),"",'6c. Wall Types'!B20)</f>
        <v/>
      </c>
      <c r="C20" s="200">
        <v>1</v>
      </c>
      <c r="D20" s="227" t="str">
        <f>IF(ISBLANK('6c. Wall Types'!D20),"",'6c. Wall Types'!D20)</f>
        <v/>
      </c>
      <c r="E20" s="227" t="str">
        <f>IF(ISBLANK('6c. Wall Types'!E20),"",'6c. Wall Types'!E20)</f>
        <v/>
      </c>
      <c r="F20" s="156"/>
      <c r="G20" s="96" t="str">
        <f>IF(F20="","",IF(F20="","",INDEX(GSG_List!$A$34:$D$36,(MATCH($F20,GSG_List!$A$34:$A$36,0)),(MATCH($B20,GSG_List!$A$34:$D$34,0)))))</f>
        <v/>
      </c>
      <c r="H20" s="227" t="str">
        <f>IF(ISBLANK('6c. Wall Types'!F20),"",'6c. Wall Types'!F20)</f>
        <v/>
      </c>
      <c r="I20" s="227" t="str">
        <f>IF(ISBLANK('6c. Wall Types'!G20),"",'6c. Wall Types'!G20)</f>
        <v/>
      </c>
      <c r="J20" s="227" t="str">
        <f>IF(ISBLANK('6c. Wall Types'!H20),"",'6c. Wall Types'!H20)</f>
        <v/>
      </c>
      <c r="K20" s="5"/>
    </row>
    <row r="21" spans="1:11" s="2" customFormat="1" ht="20.100000000000001" customHeight="1" x14ac:dyDescent="0.2">
      <c r="A21" s="435" t="s">
        <v>167</v>
      </c>
      <c r="B21" s="227" t="str">
        <f>IF(ISBLANK('6c. Wall Types'!B21),"",'6c. Wall Types'!B21)</f>
        <v>Non-Residential</v>
      </c>
      <c r="C21" s="200">
        <v>1</v>
      </c>
      <c r="D21" s="227" t="str">
        <f>IF(ISBLANK('6c. Wall Types'!D21),"",'6c. Wall Types'!D21)</f>
        <v>Swinging</v>
      </c>
      <c r="E21" s="227" t="str">
        <f>IF(ISBLANK('6c. Wall Types'!E21),"",'6c. Wall Types'!E21)</f>
        <v>U-0.500</v>
      </c>
      <c r="F21" s="156"/>
      <c r="G21" s="96" t="str">
        <f>IF(F21="","",IF(F21="","",INDEX(GSG_List!$A$37:$D$39,(MATCH($F21,GSG_List!$A$37:$A$39,0)),(MATCH($B21,GSG_List!$A$37:$D$37,0)))))</f>
        <v/>
      </c>
      <c r="H21" s="227" t="str">
        <f>IF(ISBLANK('6c. Wall Types'!F21),"",'6c. Wall Types'!F21)</f>
        <v>Standard Door</v>
      </c>
      <c r="I21" s="227">
        <f>IF(ISBLANK('6c. Wall Types'!G21),"",'6c. Wall Types'!G21)</f>
        <v>0.7</v>
      </c>
      <c r="J21" s="227" t="str">
        <f>IF(ISBLANK('6c. Wall Types'!H21),"",'6c. Wall Types'!H21)</f>
        <v/>
      </c>
      <c r="K21" s="4"/>
    </row>
    <row r="22" spans="1:11" s="2" customFormat="1" ht="20.100000000000001" customHeight="1" x14ac:dyDescent="0.2">
      <c r="A22" s="435"/>
      <c r="B22" s="227" t="str">
        <f>IF(ISBLANK('6c. Wall Types'!B22),"",'6c. Wall Types'!B22)</f>
        <v/>
      </c>
      <c r="C22" s="200">
        <v>2</v>
      </c>
      <c r="D22" s="227" t="str">
        <f>IF(ISBLANK('6c. Wall Types'!D22),"",'6c. Wall Types'!D22)</f>
        <v/>
      </c>
      <c r="E22" s="227" t="str">
        <f>IF(ISBLANK('6c. Wall Types'!E22),"",'6c. Wall Types'!E22)</f>
        <v/>
      </c>
      <c r="F22" s="156"/>
      <c r="G22" s="96" t="str">
        <f>IF(F22="","",IF(F22="","",INDEX(GSG_List!$A$37:$D$39,(MATCH($F22,GSG_List!$A$37:$A$39,0)),(MATCH($B22,GSG_List!$A$37:$D$37,0)))))</f>
        <v/>
      </c>
      <c r="H22" s="227" t="str">
        <f>IF(ISBLANK('6c. Wall Types'!F22),"",'6c. Wall Types'!F22)</f>
        <v/>
      </c>
      <c r="I22" s="227" t="str">
        <f>IF(ISBLANK('6c. Wall Types'!G22),"",'6c. Wall Types'!G22)</f>
        <v/>
      </c>
      <c r="J22" s="227" t="str">
        <f>IF(ISBLANK('6c. Wall Types'!H22),"",'6c. Wall Types'!H22)</f>
        <v/>
      </c>
      <c r="K22" s="35"/>
    </row>
    <row r="23" spans="1:11" ht="15" customHeight="1" x14ac:dyDescent="0.25"/>
  </sheetData>
  <mergeCells count="13">
    <mergeCell ref="A9:A16"/>
    <mergeCell ref="A17:A18"/>
    <mergeCell ref="A21:A22"/>
    <mergeCell ref="B3:B4"/>
    <mergeCell ref="C3:C4"/>
    <mergeCell ref="D3:E3"/>
    <mergeCell ref="F3:G3"/>
    <mergeCell ref="H3:I3"/>
    <mergeCell ref="A5:A8"/>
    <mergeCell ref="B5:B6"/>
    <mergeCell ref="C5:C6"/>
    <mergeCell ref="B7:B8"/>
    <mergeCell ref="C7:C8"/>
  </mergeCells>
  <conditionalFormatting sqref="M10">
    <cfRule type="expression" dxfId="123" priority="4">
      <formula>"""ERROR"""</formula>
    </cfRule>
  </conditionalFormatting>
  <conditionalFormatting sqref="G9:G22">
    <cfRule type="expression" dxfId="122" priority="2">
      <formula>"ERROR"</formula>
    </cfRule>
  </conditionalFormatting>
  <conditionalFormatting sqref="G11:G16">
    <cfRule type="expression" dxfId="121" priority="1">
      <formula>"ERROR"</formula>
    </cfRule>
  </conditionalFormatting>
  <dataValidations count="4">
    <dataValidation type="list" allowBlank="1" showInputMessage="1" showErrorMessage="1" sqref="F21 F22">
      <formula1>GSG_Doors</formula1>
    </dataValidation>
    <dataValidation type="list" allowBlank="1" showInputMessage="1" showErrorMessage="1" sqref="F20">
      <formula1>GSG_Slab</formula1>
    </dataValidation>
    <dataValidation type="list" allowBlank="1" showInputMessage="1" showErrorMessage="1" sqref="F19">
      <formula1>GSG_Floor</formula1>
    </dataValidation>
    <dataValidation type="list" allowBlank="1" showInputMessage="1" showErrorMessage="1" sqref="F7">
      <formula1>GSG_Roof_Type</formula1>
    </dataValidation>
  </dataValidations>
  <pageMargins left="0.25" right="0.25" top="0.75" bottom="0.75" header="0.3" footer="0.3"/>
  <pageSetup scale="80" orientation="landscape" r:id="rId1"/>
  <headerFooter>
    <oddHeader>&amp;LNYC SCA&amp;C&amp;A</oddHeader>
    <oddFooter xml:space="preserve">&amp;R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GSG_List!$A$25</xm:f>
          </x14:formula1>
          <xm:sqref>F5</xm:sqref>
        </x14:dataValidation>
        <x14:dataValidation type="list" allowBlank="1" showInputMessage="1" showErrorMessage="1">
          <x14:formula1>
            <xm:f>GSG_List!$A$27</xm:f>
          </x14:formula1>
          <xm:sqref>F9:F16</xm:sqref>
        </x14:dataValidation>
        <x14:dataValidation type="list" allowBlank="1" showInputMessage="1" showErrorMessage="1">
          <x14:formula1>
            <xm:f>GSG_List!$A$29</xm:f>
          </x14:formula1>
          <xm:sqref>F17:F18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sheetPr>
  <dimension ref="A2:K36"/>
  <sheetViews>
    <sheetView view="pageLayout" topLeftCell="A7" zoomScaleNormal="130" zoomScaleSheetLayoutView="115" workbookViewId="0">
      <selection activeCell="A5" sqref="A5:K5"/>
    </sheetView>
  </sheetViews>
  <sheetFormatPr defaultRowHeight="15" x14ac:dyDescent="0.25"/>
  <cols>
    <col min="1" max="1" width="26.7109375" style="12" customWidth="1"/>
    <col min="2" max="2" width="14.140625" style="12" customWidth="1"/>
    <col min="3" max="4" width="6.42578125" style="12" customWidth="1"/>
    <col min="5" max="8" width="7" style="13" customWidth="1"/>
    <col min="9" max="10" width="6.42578125" style="12" customWidth="1"/>
    <col min="11" max="11" width="7" style="12" customWidth="1"/>
  </cols>
  <sheetData>
    <row r="2" spans="1:11" ht="56.25" customHeight="1" x14ac:dyDescent="0.25">
      <c r="A2" s="435" t="s">
        <v>197</v>
      </c>
      <c r="B2" s="435" t="s">
        <v>271</v>
      </c>
      <c r="C2" s="435" t="s">
        <v>921</v>
      </c>
      <c r="D2" s="435"/>
      <c r="E2" s="435"/>
      <c r="F2" s="447" t="s">
        <v>767</v>
      </c>
      <c r="G2" s="448"/>
      <c r="H2" s="449"/>
      <c r="I2" s="447" t="s">
        <v>24</v>
      </c>
      <c r="J2" s="448"/>
      <c r="K2" s="449"/>
    </row>
    <row r="3" spans="1:11" ht="22.5" x14ac:dyDescent="0.25">
      <c r="A3" s="435"/>
      <c r="B3" s="435"/>
      <c r="C3" s="435" t="s">
        <v>198</v>
      </c>
      <c r="D3" s="435" t="s">
        <v>199</v>
      </c>
      <c r="E3" s="50" t="s">
        <v>200</v>
      </c>
      <c r="F3" s="435" t="s">
        <v>198</v>
      </c>
      <c r="G3" s="435" t="s">
        <v>199</v>
      </c>
      <c r="H3" s="50" t="s">
        <v>200</v>
      </c>
      <c r="I3" s="435" t="s">
        <v>198</v>
      </c>
      <c r="J3" s="435" t="s">
        <v>199</v>
      </c>
      <c r="K3" s="203" t="s">
        <v>200</v>
      </c>
    </row>
    <row r="4" spans="1:11" ht="22.5" customHeight="1" x14ac:dyDescent="0.25">
      <c r="A4" s="435"/>
      <c r="B4" s="435"/>
      <c r="C4" s="435"/>
      <c r="D4" s="435"/>
      <c r="E4" s="52" t="s">
        <v>201</v>
      </c>
      <c r="F4" s="435"/>
      <c r="G4" s="435"/>
      <c r="H4" s="52" t="s">
        <v>201</v>
      </c>
      <c r="I4" s="435"/>
      <c r="J4" s="435"/>
      <c r="K4" s="204" t="s">
        <v>201</v>
      </c>
    </row>
    <row r="5" spans="1:11" x14ac:dyDescent="0.25">
      <c r="A5" s="221" t="str">
        <f>IF('6d. Interior LPD-Space Method'!A5="","",'6d. Interior LPD-Space Method'!A5)</f>
        <v>Classroom/lecture/training - all other</v>
      </c>
      <c r="B5" s="222">
        <f>IF('6d. Interior LPD-Space Method'!B5="","",'6d. Interior LPD-Space Method'!B5)</f>
        <v>1</v>
      </c>
      <c r="C5" s="223" t="str">
        <f>IF('6d. Interior LPD-Space Method'!C5="","",'6d. Interior LPD-Space Method'!C5)</f>
        <v>Yes</v>
      </c>
      <c r="D5" s="223" t="str">
        <f>IF('6d. Interior LPD-Space Method'!D5="","",'6d. Interior LPD-Space Method'!D5)</f>
        <v>Yes</v>
      </c>
      <c r="E5" s="224">
        <f>IF('6d. Interior LPD-Space Method'!E5="","",'6d. Interior LPD-Space Method'!E5)</f>
        <v>1.24</v>
      </c>
      <c r="F5" s="156"/>
      <c r="G5" s="156"/>
      <c r="H5" s="97">
        <f>IF($A5="","",IF($B5="","",VLOOKUP($A5,'GSG LPD'!$A$2:$B$106,2)))</f>
        <v>1.24</v>
      </c>
      <c r="I5" s="223" t="str">
        <f>IF('6d. Interior LPD-Space Method'!F5="","",'6d. Interior LPD-Space Method'!F5)</f>
        <v>Yes</v>
      </c>
      <c r="J5" s="223" t="str">
        <f>IF('6d. Interior LPD-Space Method'!G5="","",'6d. Interior LPD-Space Method'!G5)</f>
        <v>Yes</v>
      </c>
      <c r="K5" s="225">
        <f>IF('6d. Interior LPD-Space Method'!H5="","",'6d. Interior LPD-Space Method'!H5)</f>
        <v>1.24</v>
      </c>
    </row>
    <row r="6" spans="1:11" x14ac:dyDescent="0.25">
      <c r="A6" s="221" t="str">
        <f>IF('6d. Interior LPD-Space Method'!A6="","",'6d. Interior LPD-Space Method'!A6)</f>
        <v>Office - Enclosed and &lt; 250 sqft</v>
      </c>
      <c r="B6" s="222" t="str">
        <f>IF('6d. Interior LPD-Space Method'!B6="","",'6d. Interior LPD-Space Method'!B6)</f>
        <v/>
      </c>
      <c r="C6" s="223" t="str">
        <f>IF('6d. Interior LPD-Space Method'!C6="","",'6d. Interior LPD-Space Method'!C6)</f>
        <v>Yes</v>
      </c>
      <c r="D6" s="223" t="str">
        <f>IF('6d. Interior LPD-Space Method'!D6="","",'6d. Interior LPD-Space Method'!D6)</f>
        <v>Yes</v>
      </c>
      <c r="E6" s="224" t="str">
        <f>IF('6d. Interior LPD-Space Method'!E6="","",'6d. Interior LPD-Space Method'!E6)</f>
        <v/>
      </c>
      <c r="F6" s="156"/>
      <c r="G6" s="156"/>
      <c r="H6" s="97" t="str">
        <f>IF($A6="","",IF($B6="","",VLOOKUP($A6,'GSG LPD'!$A$2:$B$106,2)))</f>
        <v/>
      </c>
      <c r="I6" s="223" t="str">
        <f>IF('6d. Interior LPD-Space Method'!F6="","",'6d. Interior LPD-Space Method'!F6)</f>
        <v>Yes</v>
      </c>
      <c r="J6" s="223" t="str">
        <f>IF('6d. Interior LPD-Space Method'!G6="","",'6d. Interior LPD-Space Method'!G6)</f>
        <v>Yes</v>
      </c>
      <c r="K6" s="225" t="str">
        <f>IF('6d. Interior LPD-Space Method'!H6="","",'6d. Interior LPD-Space Method'!H6)</f>
        <v/>
      </c>
    </row>
    <row r="7" spans="1:11" x14ac:dyDescent="0.25">
      <c r="A7" s="221" t="str">
        <f>IF('6d. Interior LPD-Space Method'!A7="","",'6d. Interior LPD-Space Method'!A7)</f>
        <v>Office - Enclosed and &gt; 250 sqft</v>
      </c>
      <c r="B7" s="222" t="str">
        <f>IF('6d. Interior LPD-Space Method'!B7="","",'6d. Interior LPD-Space Method'!B7)</f>
        <v/>
      </c>
      <c r="C7" s="223" t="str">
        <f>IF('6d. Interior LPD-Space Method'!C7="","",'6d. Interior LPD-Space Method'!C7)</f>
        <v>Yes</v>
      </c>
      <c r="D7" s="223" t="str">
        <f>IF('6d. Interior LPD-Space Method'!D7="","",'6d. Interior LPD-Space Method'!D7)</f>
        <v>Yes</v>
      </c>
      <c r="E7" s="224" t="str">
        <f>IF('6d. Interior LPD-Space Method'!E7="","",'6d. Interior LPD-Space Method'!E7)</f>
        <v/>
      </c>
      <c r="F7" s="156"/>
      <c r="G7" s="156"/>
      <c r="H7" s="97" t="str">
        <f>IF($A7="","",IF($B7="","",VLOOKUP($A7,'GSG LPD'!$A$2:$B$106,2)))</f>
        <v/>
      </c>
      <c r="I7" s="223" t="str">
        <f>IF('6d. Interior LPD-Space Method'!F7="","",'6d. Interior LPD-Space Method'!F7)</f>
        <v>Yes</v>
      </c>
      <c r="J7" s="223" t="str">
        <f>IF('6d. Interior LPD-Space Method'!G7="","",'6d. Interior LPD-Space Method'!G7)</f>
        <v>Yes</v>
      </c>
      <c r="K7" s="225" t="str">
        <f>IF('6d. Interior LPD-Space Method'!H7="","",'6d. Interior LPD-Space Method'!H7)</f>
        <v/>
      </c>
    </row>
    <row r="8" spans="1:11" x14ac:dyDescent="0.25">
      <c r="A8" s="221" t="str">
        <f>IF('6d. Interior LPD-Space Method'!A8="","",'6d. Interior LPD-Space Method'!A8)</f>
        <v>Corridor - all other</v>
      </c>
      <c r="B8" s="222" t="str">
        <f>IF('6d. Interior LPD-Space Method'!B8="","",'6d. Interior LPD-Space Method'!B8)</f>
        <v/>
      </c>
      <c r="C8" s="223" t="str">
        <f>IF('6d. Interior LPD-Space Method'!C8="","",'6d. Interior LPD-Space Method'!C8)</f>
        <v>Yes</v>
      </c>
      <c r="D8" s="223" t="str">
        <f>IF('6d. Interior LPD-Space Method'!D8="","",'6d. Interior LPD-Space Method'!D8)</f>
        <v>No</v>
      </c>
      <c r="E8" s="224" t="str">
        <f>IF('6d. Interior LPD-Space Method'!E8="","",'6d. Interior LPD-Space Method'!E8)</f>
        <v/>
      </c>
      <c r="F8" s="156"/>
      <c r="G8" s="156"/>
      <c r="H8" s="97" t="str">
        <f>IF($A8="","",IF($B8="","",VLOOKUP($A8,'GSG LPD'!$A$2:$B$106,2)))</f>
        <v/>
      </c>
      <c r="I8" s="223" t="str">
        <f>IF('6d. Interior LPD-Space Method'!F8="","",'6d. Interior LPD-Space Method'!F8)</f>
        <v>Yes</v>
      </c>
      <c r="J8" s="223" t="str">
        <f>IF('6d. Interior LPD-Space Method'!G8="","",'6d. Interior LPD-Space Method'!G8)</f>
        <v>No</v>
      </c>
      <c r="K8" s="225" t="str">
        <f>IF('6d. Interior LPD-Space Method'!H8="","",'6d. Interior LPD-Space Method'!H8)</f>
        <v/>
      </c>
    </row>
    <row r="9" spans="1:11" x14ac:dyDescent="0.25">
      <c r="A9" s="221" t="str">
        <f>IF('6d. Interior LPD-Space Method'!A9="","",'6d. Interior LPD-Space Method'!A9)</f>
        <v>Stairwell</v>
      </c>
      <c r="B9" s="222" t="str">
        <f>IF('6d. Interior LPD-Space Method'!B9="","",'6d. Interior LPD-Space Method'!B9)</f>
        <v/>
      </c>
      <c r="C9" s="223" t="str">
        <f>IF('6d. Interior LPD-Space Method'!C9="","",'6d. Interior LPD-Space Method'!C9)</f>
        <v>Yes</v>
      </c>
      <c r="D9" s="223" t="str">
        <f>IF('6d. Interior LPD-Space Method'!D9="","",'6d. Interior LPD-Space Method'!D9)</f>
        <v>No</v>
      </c>
      <c r="E9" s="224" t="str">
        <f>IF('6d. Interior LPD-Space Method'!E9="","",'6d. Interior LPD-Space Method'!E9)</f>
        <v/>
      </c>
      <c r="F9" s="156"/>
      <c r="G9" s="156"/>
      <c r="H9" s="97" t="str">
        <f>IF($A9="","",IF($B9="","",VLOOKUP($A9,'GSG LPD'!$A$2:$B$106,2)))</f>
        <v/>
      </c>
      <c r="I9" s="223" t="str">
        <f>IF('6d. Interior LPD-Space Method'!F9="","",'6d. Interior LPD-Space Method'!F9)</f>
        <v>No</v>
      </c>
      <c r="J9" s="223" t="str">
        <f>IF('6d. Interior LPD-Space Method'!G9="","",'6d. Interior LPD-Space Method'!G9)</f>
        <v>No</v>
      </c>
      <c r="K9" s="225" t="str">
        <f>IF('6d. Interior LPD-Space Method'!H9="","",'6d. Interior LPD-Space Method'!H9)</f>
        <v/>
      </c>
    </row>
    <row r="10" spans="1:11" x14ac:dyDescent="0.25">
      <c r="A10" s="221" t="str">
        <f>IF('6d. Interior LPD-Space Method'!A10="","",'6d. Interior LPD-Space Method'!A10)</f>
        <v>Electrical/Mechanical</v>
      </c>
      <c r="B10" s="222" t="str">
        <f>IF('6d. Interior LPD-Space Method'!B10="","",'6d. Interior LPD-Space Method'!B10)</f>
        <v/>
      </c>
      <c r="C10" s="223" t="str">
        <f>IF('6d. Interior LPD-Space Method'!C10="","",'6d. Interior LPD-Space Method'!C10)</f>
        <v>Yes</v>
      </c>
      <c r="D10" s="223" t="str">
        <f>IF('6d. Interior LPD-Space Method'!D10="","",'6d. Interior LPD-Space Method'!D10)</f>
        <v>No</v>
      </c>
      <c r="E10" s="224" t="str">
        <f>IF('6d. Interior LPD-Space Method'!E10="","",'6d. Interior LPD-Space Method'!E10)</f>
        <v/>
      </c>
      <c r="F10" s="156"/>
      <c r="G10" s="156"/>
      <c r="H10" s="97" t="str">
        <f>IF($A10="","",IF($B10="","",VLOOKUP($A10,'GSG LPD'!$A$2:$B$106,2)))</f>
        <v/>
      </c>
      <c r="I10" s="223" t="str">
        <f>IF('6d. Interior LPD-Space Method'!F10="","",'6d. Interior LPD-Space Method'!F10)</f>
        <v>No</v>
      </c>
      <c r="J10" s="223" t="str">
        <f>IF('6d. Interior LPD-Space Method'!G10="","",'6d. Interior LPD-Space Method'!G10)</f>
        <v>No</v>
      </c>
      <c r="K10" s="225" t="str">
        <f>IF('6d. Interior LPD-Space Method'!H10="","",'6d. Interior LPD-Space Method'!H10)</f>
        <v/>
      </c>
    </row>
    <row r="11" spans="1:11" x14ac:dyDescent="0.25">
      <c r="A11" s="221" t="str">
        <f>IF('6d. Interior LPD-Space Method'!A11="","",'6d. Interior LPD-Space Method'!A11)</f>
        <v>Storage room - all other</v>
      </c>
      <c r="B11" s="222" t="str">
        <f>IF('6d. Interior LPD-Space Method'!B11="","",'6d. Interior LPD-Space Method'!B11)</f>
        <v/>
      </c>
      <c r="C11" s="223" t="str">
        <f>IF('6d. Interior LPD-Space Method'!C11="","",'6d. Interior LPD-Space Method'!C11)</f>
        <v>Yes</v>
      </c>
      <c r="D11" s="223" t="str">
        <f>IF('6d. Interior LPD-Space Method'!D11="","",'6d. Interior LPD-Space Method'!D11)</f>
        <v>No</v>
      </c>
      <c r="E11" s="224" t="str">
        <f>IF('6d. Interior LPD-Space Method'!E11="","",'6d. Interior LPD-Space Method'!E11)</f>
        <v/>
      </c>
      <c r="F11" s="156"/>
      <c r="G11" s="156"/>
      <c r="H11" s="97" t="str">
        <f>IF($A11="","",IF($B11="","",VLOOKUP($A11,'GSG LPD'!$A$2:$B$106,2)))</f>
        <v/>
      </c>
      <c r="I11" s="223" t="str">
        <f>IF('6d. Interior LPD-Space Method'!F11="","",'6d. Interior LPD-Space Method'!F11)</f>
        <v>Yes</v>
      </c>
      <c r="J11" s="223" t="str">
        <f>IF('6d. Interior LPD-Space Method'!G11="","",'6d. Interior LPD-Space Method'!G11)</f>
        <v>No</v>
      </c>
      <c r="K11" s="225" t="str">
        <f>IF('6d. Interior LPD-Space Method'!H11="","",'6d. Interior LPD-Space Method'!H11)</f>
        <v/>
      </c>
    </row>
    <row r="12" spans="1:11" x14ac:dyDescent="0.25">
      <c r="A12" s="221" t="str">
        <f>IF('6d. Interior LPD-Space Method'!A12="","",'6d. Interior LPD-Space Method'!A12)</f>
        <v>Locker Room</v>
      </c>
      <c r="B12" s="222" t="str">
        <f>IF('6d. Interior LPD-Space Method'!B12="","",'6d. Interior LPD-Space Method'!B12)</f>
        <v/>
      </c>
      <c r="C12" s="223" t="str">
        <f>IF('6d. Interior LPD-Space Method'!C12="","",'6d. Interior LPD-Space Method'!C12)</f>
        <v>Yes</v>
      </c>
      <c r="D12" s="223" t="str">
        <f>IF('6d. Interior LPD-Space Method'!D12="","",'6d. Interior LPD-Space Method'!D12)</f>
        <v>No</v>
      </c>
      <c r="E12" s="224" t="str">
        <f>IF('6d. Interior LPD-Space Method'!E12="","",'6d. Interior LPD-Space Method'!E12)</f>
        <v/>
      </c>
      <c r="F12" s="156"/>
      <c r="G12" s="156"/>
      <c r="H12" s="97" t="str">
        <f>IF($A12="","",IF($B12="","",VLOOKUP($A12,'GSG LPD'!$A$2:$B$106,2)))</f>
        <v/>
      </c>
      <c r="I12" s="223" t="str">
        <f>IF('6d. Interior LPD-Space Method'!F12="","",'6d. Interior LPD-Space Method'!F12)</f>
        <v>Yes</v>
      </c>
      <c r="J12" s="223" t="str">
        <f>IF('6d. Interior LPD-Space Method'!G12="","",'6d. Interior LPD-Space Method'!G12)</f>
        <v>No</v>
      </c>
      <c r="K12" s="225" t="str">
        <f>IF('6d. Interior LPD-Space Method'!H12="","",'6d. Interior LPD-Space Method'!H12)</f>
        <v/>
      </c>
    </row>
    <row r="13" spans="1:11" x14ac:dyDescent="0.25">
      <c r="A13" s="221" t="str">
        <f>IF('6d. Interior LPD-Space Method'!A13="","",'6d. Interior LPD-Space Method'!A13)</f>
        <v>Lobby - all other</v>
      </c>
      <c r="B13" s="222" t="str">
        <f>IF('6d. Interior LPD-Space Method'!B13="","",'6d. Interior LPD-Space Method'!B13)</f>
        <v/>
      </c>
      <c r="C13" s="223" t="str">
        <f>IF('6d. Interior LPD-Space Method'!C13="","",'6d. Interior LPD-Space Method'!C13)</f>
        <v>Yes</v>
      </c>
      <c r="D13" s="223" t="str">
        <f>IF('6d. Interior LPD-Space Method'!D13="","",'6d. Interior LPD-Space Method'!D13)</f>
        <v>Yes</v>
      </c>
      <c r="E13" s="224" t="str">
        <f>IF('6d. Interior LPD-Space Method'!E13="","",'6d. Interior LPD-Space Method'!E13)</f>
        <v/>
      </c>
      <c r="F13" s="156"/>
      <c r="G13" s="156"/>
      <c r="H13" s="97" t="str">
        <f>IF($A13="","",IF($B13="","",VLOOKUP($A13,'GSG LPD'!$A$2:$B$106,2)))</f>
        <v/>
      </c>
      <c r="I13" s="223" t="str">
        <f>IF('6d. Interior LPD-Space Method'!F13="","",'6d. Interior LPD-Space Method'!F13)</f>
        <v>Yes</v>
      </c>
      <c r="J13" s="223" t="str">
        <f>IF('6d. Interior LPD-Space Method'!G13="","",'6d. Interior LPD-Space Method'!G13)</f>
        <v>Yes</v>
      </c>
      <c r="K13" s="225" t="str">
        <f>IF('6d. Interior LPD-Space Method'!H13="","",'6d. Interior LPD-Space Method'!H13)</f>
        <v/>
      </c>
    </row>
    <row r="14" spans="1:11" x14ac:dyDescent="0.25">
      <c r="A14" s="221" t="str">
        <f>IF('6d. Interior LPD-Space Method'!A14="","",'6d. Interior LPD-Space Method'!A14)</f>
        <v>Lobby - Elevator</v>
      </c>
      <c r="B14" s="222" t="str">
        <f>IF('6d. Interior LPD-Space Method'!B14="","",'6d. Interior LPD-Space Method'!B14)</f>
        <v/>
      </c>
      <c r="C14" s="223" t="str">
        <f>IF('6d. Interior LPD-Space Method'!C14="","",'6d. Interior LPD-Space Method'!C14)</f>
        <v>Yes</v>
      </c>
      <c r="D14" s="223" t="str">
        <f>IF('6d. Interior LPD-Space Method'!D14="","",'6d. Interior LPD-Space Method'!D14)</f>
        <v>No</v>
      </c>
      <c r="E14" s="224" t="str">
        <f>IF('6d. Interior LPD-Space Method'!E14="","",'6d. Interior LPD-Space Method'!E14)</f>
        <v/>
      </c>
      <c r="F14" s="156"/>
      <c r="G14" s="156"/>
      <c r="H14" s="97" t="str">
        <f>IF($A14="","",IF($B14="","",VLOOKUP($A14,'GSG LPD'!$A$2:$B$106,2)))</f>
        <v/>
      </c>
      <c r="I14" s="223" t="str">
        <f>IF('6d. Interior LPD-Space Method'!F14="","",'6d. Interior LPD-Space Method'!F14)</f>
        <v>Yes</v>
      </c>
      <c r="J14" s="223" t="str">
        <f>IF('6d. Interior LPD-Space Method'!G14="","",'6d. Interior LPD-Space Method'!G14)</f>
        <v>No</v>
      </c>
      <c r="K14" s="225" t="str">
        <f>IF('6d. Interior LPD-Space Method'!H14="","",'6d. Interior LPD-Space Method'!H14)</f>
        <v/>
      </c>
    </row>
    <row r="15" spans="1:11" ht="22.5" x14ac:dyDescent="0.25">
      <c r="A15" s="221" t="str">
        <f>IF('6d. Interior LPD-Space Method'!A15="","",'6d. Interior LPD-Space Method'!A15)</f>
        <v>Healthcare facility - exam treatment room</v>
      </c>
      <c r="B15" s="222" t="str">
        <f>IF('6d. Interior LPD-Space Method'!B15="","",'6d. Interior LPD-Space Method'!B15)</f>
        <v/>
      </c>
      <c r="C15" s="223" t="str">
        <f>IF('6d. Interior LPD-Space Method'!C15="","",'6d. Interior LPD-Space Method'!C15)</f>
        <v>Yes</v>
      </c>
      <c r="D15" s="223" t="str">
        <f>IF('6d. Interior LPD-Space Method'!D15="","",'6d. Interior LPD-Space Method'!D15)</f>
        <v>No</v>
      </c>
      <c r="E15" s="224" t="str">
        <f>IF('6d. Interior LPD-Space Method'!E15="","",'6d. Interior LPD-Space Method'!E15)</f>
        <v/>
      </c>
      <c r="F15" s="156"/>
      <c r="G15" s="156"/>
      <c r="H15" s="97" t="str">
        <f>IF($A15="","",IF($B15="","",VLOOKUP($A15,'GSG LPD'!$A$2:$B$106,2)))</f>
        <v/>
      </c>
      <c r="I15" s="223" t="str">
        <f>IF('6d. Interior LPD-Space Method'!F15="","",'6d. Interior LPD-Space Method'!F15)</f>
        <v>Yes</v>
      </c>
      <c r="J15" s="223" t="str">
        <f>IF('6d. Interior LPD-Space Method'!G15="","",'6d. Interior LPD-Space Method'!G15)</f>
        <v>No</v>
      </c>
      <c r="K15" s="225" t="str">
        <f>IF('6d. Interior LPD-Space Method'!H15="","",'6d. Interior LPD-Space Method'!H15)</f>
        <v/>
      </c>
    </row>
    <row r="16" spans="1:11" x14ac:dyDescent="0.25">
      <c r="A16" s="221" t="str">
        <f>IF('6d. Interior LPD-Space Method'!A16="","",'6d. Interior LPD-Space Method'!A16)</f>
        <v>Audience/seating area - auditorium</v>
      </c>
      <c r="B16" s="222" t="str">
        <f>IF('6d. Interior LPD-Space Method'!B16="","",'6d. Interior LPD-Space Method'!B16)</f>
        <v/>
      </c>
      <c r="C16" s="223" t="str">
        <f>IF('6d. Interior LPD-Space Method'!C16="","",'6d. Interior LPD-Space Method'!C16)</f>
        <v>No</v>
      </c>
      <c r="D16" s="223" t="str">
        <f>IF('6d. Interior LPD-Space Method'!D16="","",'6d. Interior LPD-Space Method'!D16)</f>
        <v>No</v>
      </c>
      <c r="E16" s="224" t="str">
        <f>IF('6d. Interior LPD-Space Method'!E16="","",'6d. Interior LPD-Space Method'!E16)</f>
        <v/>
      </c>
      <c r="F16" s="156"/>
      <c r="G16" s="156"/>
      <c r="H16" s="97" t="str">
        <f>IF($A16="","",IF($B16="","",VLOOKUP($A16,'GSG LPD'!$A$2:$B$106,2)))</f>
        <v/>
      </c>
      <c r="I16" s="223" t="str">
        <f>IF('6d. Interior LPD-Space Method'!F16="","",'6d. Interior LPD-Space Method'!F16)</f>
        <v>No</v>
      </c>
      <c r="J16" s="223" t="str">
        <f>IF('6d. Interior LPD-Space Method'!G16="","",'6d. Interior LPD-Space Method'!G16)</f>
        <v>No</v>
      </c>
      <c r="K16" s="225" t="str">
        <f>IF('6d. Interior LPD-Space Method'!H16="","",'6d. Interior LPD-Space Method'!H16)</f>
        <v/>
      </c>
    </row>
    <row r="17" spans="1:11" x14ac:dyDescent="0.25">
      <c r="A17" s="221" t="str">
        <f>IF('6d. Interior LPD-Space Method'!A17="","",'6d. Interior LPD-Space Method'!A17)</f>
        <v>Dining Area - all other</v>
      </c>
      <c r="B17" s="222" t="str">
        <f>IF('6d. Interior LPD-Space Method'!B17="","",'6d. Interior LPD-Space Method'!B17)</f>
        <v/>
      </c>
      <c r="C17" s="223" t="str">
        <f>IF('6d. Interior LPD-Space Method'!C17="","",'6d. Interior LPD-Space Method'!C17)</f>
        <v>Yes</v>
      </c>
      <c r="D17" s="223" t="str">
        <f>IF('6d. Interior LPD-Space Method'!D17="","",'6d. Interior LPD-Space Method'!D17)</f>
        <v>Yes</v>
      </c>
      <c r="E17" s="224" t="str">
        <f>IF('6d. Interior LPD-Space Method'!E17="","",'6d. Interior LPD-Space Method'!E17)</f>
        <v/>
      </c>
      <c r="F17" s="156"/>
      <c r="G17" s="156"/>
      <c r="H17" s="97" t="str">
        <f>IF($A17="","",IF($B17="","",VLOOKUP($A17,'GSG LPD'!$A$2:$B$106,2)))</f>
        <v/>
      </c>
      <c r="I17" s="223" t="str">
        <f>IF('6d. Interior LPD-Space Method'!F17="","",'6d. Interior LPD-Space Method'!F17)</f>
        <v>Yes</v>
      </c>
      <c r="J17" s="223" t="str">
        <f>IF('6d. Interior LPD-Space Method'!G17="","",'6d. Interior LPD-Space Method'!G17)</f>
        <v>Yes</v>
      </c>
      <c r="K17" s="225" t="str">
        <f>IF('6d. Interior LPD-Space Method'!H17="","",'6d. Interior LPD-Space Method'!H17)</f>
        <v/>
      </c>
    </row>
    <row r="18" spans="1:11" x14ac:dyDescent="0.25">
      <c r="A18" s="221" t="str">
        <f>IF('6d. Interior LPD-Space Method'!A18="","",'6d. Interior LPD-Space Method'!A18)</f>
        <v>Food Preparation Area</v>
      </c>
      <c r="B18" s="222" t="str">
        <f>IF('6d. Interior LPD-Space Method'!B18="","",'6d. Interior LPD-Space Method'!B18)</f>
        <v/>
      </c>
      <c r="C18" s="223" t="str">
        <f>IF('6d. Interior LPD-Space Method'!C18="","",'6d. Interior LPD-Space Method'!C18)</f>
        <v>No</v>
      </c>
      <c r="D18" s="223" t="str">
        <f>IF('6d. Interior LPD-Space Method'!D18="","",'6d. Interior LPD-Space Method'!D18)</f>
        <v>No</v>
      </c>
      <c r="E18" s="224" t="str">
        <f>IF('6d. Interior LPD-Space Method'!E18="","",'6d. Interior LPD-Space Method'!E18)</f>
        <v/>
      </c>
      <c r="F18" s="156"/>
      <c r="G18" s="156"/>
      <c r="H18" s="97" t="str">
        <f>IF($A18="","",IF($B18="","",VLOOKUP($A18,'GSG LPD'!$A$2:$B$106,2)))</f>
        <v/>
      </c>
      <c r="I18" s="223" t="str">
        <f>IF('6d. Interior LPD-Space Method'!F18="","",'6d. Interior LPD-Space Method'!F18)</f>
        <v>No</v>
      </c>
      <c r="J18" s="223" t="str">
        <f>IF('6d. Interior LPD-Space Method'!G18="","",'6d. Interior LPD-Space Method'!G18)</f>
        <v>No</v>
      </c>
      <c r="K18" s="225" t="str">
        <f>IF('6d. Interior LPD-Space Method'!H18="","",'6d. Interior LPD-Space Method'!H18)</f>
        <v/>
      </c>
    </row>
    <row r="19" spans="1:11" ht="22.5" x14ac:dyDescent="0.25">
      <c r="A19" s="221" t="str">
        <f>IF('6d. Interior LPD-Space Method'!A19="","",'6d. Interior LPD-Space Method'!A19)</f>
        <v>Gymnasium/Exercise Center-Playing Area</v>
      </c>
      <c r="B19" s="222" t="str">
        <f>IF('6d. Interior LPD-Space Method'!B19="","",'6d. Interior LPD-Space Method'!B19)</f>
        <v/>
      </c>
      <c r="C19" s="223" t="str">
        <f>IF('6d. Interior LPD-Space Method'!C19="","",'6d. Interior LPD-Space Method'!C19)</f>
        <v>No</v>
      </c>
      <c r="D19" s="223" t="str">
        <f>IF('6d. Interior LPD-Space Method'!D19="","",'6d. Interior LPD-Space Method'!D19)</f>
        <v>Yes</v>
      </c>
      <c r="E19" s="224" t="str">
        <f>IF('6d. Interior LPD-Space Method'!E19="","",'6d. Interior LPD-Space Method'!E19)</f>
        <v/>
      </c>
      <c r="F19" s="156"/>
      <c r="G19" s="156"/>
      <c r="H19" s="97" t="str">
        <f>IF($A19="","",IF($B19="","",VLOOKUP($A19,'GSG LPD'!$A$2:$B$106,2)))</f>
        <v/>
      </c>
      <c r="I19" s="223" t="str">
        <f>IF('6d. Interior LPD-Space Method'!F19="","",'6d. Interior LPD-Space Method'!F19)</f>
        <v>No</v>
      </c>
      <c r="J19" s="223" t="str">
        <f>IF('6d. Interior LPD-Space Method'!G19="","",'6d. Interior LPD-Space Method'!G19)</f>
        <v>Yes</v>
      </c>
      <c r="K19" s="225" t="str">
        <f>IF('6d. Interior LPD-Space Method'!H19="","",'6d. Interior LPD-Space Method'!H19)</f>
        <v/>
      </c>
    </row>
    <row r="20" spans="1:11" x14ac:dyDescent="0.25">
      <c r="A20" s="221" t="str">
        <f>IF('6d. Interior LPD-Space Method'!A20="","",'6d. Interior LPD-Space Method'!A20)</f>
        <v/>
      </c>
      <c r="B20" s="222" t="str">
        <f>IF('6d. Interior LPD-Space Method'!B20="","",'6d. Interior LPD-Space Method'!B20)</f>
        <v/>
      </c>
      <c r="C20" s="223" t="str">
        <f>IF('6d. Interior LPD-Space Method'!C20="","",'6d. Interior LPD-Space Method'!C20)</f>
        <v/>
      </c>
      <c r="D20" s="223" t="str">
        <f>IF('6d. Interior LPD-Space Method'!D20="","",'6d. Interior LPD-Space Method'!D20)</f>
        <v/>
      </c>
      <c r="E20" s="224" t="str">
        <f>IF('6d. Interior LPD-Space Method'!E20="","",'6d. Interior LPD-Space Method'!E20)</f>
        <v/>
      </c>
      <c r="F20" s="156"/>
      <c r="G20" s="156"/>
      <c r="H20" s="97" t="str">
        <f>IF($A20="","",IF($B20="","",VLOOKUP($A20,'GSG LPD'!$A$2:$B$106,2)))</f>
        <v/>
      </c>
      <c r="I20" s="223" t="str">
        <f>IF('6d. Interior LPD-Space Method'!F20="","",'6d. Interior LPD-Space Method'!F20)</f>
        <v/>
      </c>
      <c r="J20" s="223" t="str">
        <f>IF('6d. Interior LPD-Space Method'!G20="","",'6d. Interior LPD-Space Method'!G20)</f>
        <v/>
      </c>
      <c r="K20" s="225" t="str">
        <f>IF('6d. Interior LPD-Space Method'!H20="","",'6d. Interior LPD-Space Method'!H20)</f>
        <v/>
      </c>
    </row>
    <row r="21" spans="1:11" x14ac:dyDescent="0.25">
      <c r="A21" s="221" t="str">
        <f>IF('6d. Interior LPD-Space Method'!A21="","",'6d. Interior LPD-Space Method'!A21)</f>
        <v/>
      </c>
      <c r="B21" s="222" t="str">
        <f>IF('6d. Interior LPD-Space Method'!B21="","",'6d. Interior LPD-Space Method'!B21)</f>
        <v/>
      </c>
      <c r="C21" s="223" t="str">
        <f>IF('6d. Interior LPD-Space Method'!C21="","",'6d. Interior LPD-Space Method'!C21)</f>
        <v/>
      </c>
      <c r="D21" s="223" t="str">
        <f>IF('6d. Interior LPD-Space Method'!D21="","",'6d. Interior LPD-Space Method'!D21)</f>
        <v/>
      </c>
      <c r="E21" s="224" t="str">
        <f>IF('6d. Interior LPD-Space Method'!E21="","",'6d. Interior LPD-Space Method'!E21)</f>
        <v/>
      </c>
      <c r="F21" s="156"/>
      <c r="G21" s="156"/>
      <c r="H21" s="97" t="str">
        <f>IF($A21="","",IF($B21="","",VLOOKUP($A21,'GSG LPD'!$A$2:$B$106,2)))</f>
        <v/>
      </c>
      <c r="I21" s="223" t="str">
        <f>IF('6d. Interior LPD-Space Method'!F21="","",'6d. Interior LPD-Space Method'!F21)</f>
        <v/>
      </c>
      <c r="J21" s="223" t="str">
        <f>IF('6d. Interior LPD-Space Method'!G21="","",'6d. Interior LPD-Space Method'!G21)</f>
        <v/>
      </c>
      <c r="K21" s="225" t="str">
        <f>IF('6d. Interior LPD-Space Method'!H21="","",'6d. Interior LPD-Space Method'!H21)</f>
        <v/>
      </c>
    </row>
    <row r="22" spans="1:11" x14ac:dyDescent="0.25">
      <c r="A22" s="221" t="str">
        <f>IF('6d. Interior LPD-Space Method'!A22="","",'6d. Interior LPD-Space Method'!A22)</f>
        <v/>
      </c>
      <c r="B22" s="222" t="str">
        <f>IF('6d. Interior LPD-Space Method'!B22="","",'6d. Interior LPD-Space Method'!B22)</f>
        <v/>
      </c>
      <c r="C22" s="223" t="str">
        <f>IF('6d. Interior LPD-Space Method'!C22="","",'6d. Interior LPD-Space Method'!C22)</f>
        <v/>
      </c>
      <c r="D22" s="223" t="str">
        <f>IF('6d. Interior LPD-Space Method'!D22="","",'6d. Interior LPD-Space Method'!D22)</f>
        <v/>
      </c>
      <c r="E22" s="224" t="str">
        <f>IF('6d. Interior LPD-Space Method'!E22="","",'6d. Interior LPD-Space Method'!E22)</f>
        <v/>
      </c>
      <c r="F22" s="156"/>
      <c r="G22" s="156"/>
      <c r="H22" s="97" t="str">
        <f>IF($A22="","",IF($B22="","",VLOOKUP($A22,'GSG LPD'!$A$2:$B$106,2)))</f>
        <v/>
      </c>
      <c r="I22" s="223" t="str">
        <f>IF('6d. Interior LPD-Space Method'!F22="","",'6d. Interior LPD-Space Method'!F22)</f>
        <v/>
      </c>
      <c r="J22" s="223" t="str">
        <f>IF('6d. Interior LPD-Space Method'!G22="","",'6d. Interior LPD-Space Method'!G22)</f>
        <v/>
      </c>
      <c r="K22" s="225" t="str">
        <f>IF('6d. Interior LPD-Space Method'!H22="","",'6d. Interior LPD-Space Method'!H22)</f>
        <v/>
      </c>
    </row>
    <row r="23" spans="1:11" x14ac:dyDescent="0.25">
      <c r="A23" s="221" t="str">
        <f>IF('6d. Interior LPD-Space Method'!A23="","",'6d. Interior LPD-Space Method'!A23)</f>
        <v/>
      </c>
      <c r="B23" s="222" t="str">
        <f>IF('6d. Interior LPD-Space Method'!B23="","",'6d. Interior LPD-Space Method'!B23)</f>
        <v/>
      </c>
      <c r="C23" s="223" t="str">
        <f>IF('6d. Interior LPD-Space Method'!C23="","",'6d. Interior LPD-Space Method'!C23)</f>
        <v/>
      </c>
      <c r="D23" s="223" t="str">
        <f>IF('6d. Interior LPD-Space Method'!D23="","",'6d. Interior LPD-Space Method'!D23)</f>
        <v/>
      </c>
      <c r="E23" s="224" t="str">
        <f>IF('6d. Interior LPD-Space Method'!E23="","",'6d. Interior LPD-Space Method'!E23)</f>
        <v/>
      </c>
      <c r="F23" s="156"/>
      <c r="G23" s="156"/>
      <c r="H23" s="97" t="str">
        <f>IF($A23="","",IF($B23="","",VLOOKUP($A23,'GSG LPD'!$A$2:$B$106,2)))</f>
        <v/>
      </c>
      <c r="I23" s="223" t="str">
        <f>IF('6d. Interior LPD-Space Method'!F23="","",'6d. Interior LPD-Space Method'!F23)</f>
        <v/>
      </c>
      <c r="J23" s="223" t="str">
        <f>IF('6d. Interior LPD-Space Method'!G23="","",'6d. Interior LPD-Space Method'!G23)</f>
        <v/>
      </c>
      <c r="K23" s="225" t="str">
        <f>IF('6d. Interior LPD-Space Method'!H23="","",'6d. Interior LPD-Space Method'!H23)</f>
        <v/>
      </c>
    </row>
    <row r="24" spans="1:11" x14ac:dyDescent="0.25">
      <c r="A24" s="221" t="str">
        <f>IF('6d. Interior LPD-Space Method'!A24="","",'6d. Interior LPD-Space Method'!A24)</f>
        <v/>
      </c>
      <c r="B24" s="222" t="str">
        <f>IF('6d. Interior LPD-Space Method'!B24="","",'6d. Interior LPD-Space Method'!B24)</f>
        <v/>
      </c>
      <c r="C24" s="223" t="str">
        <f>IF('6d. Interior LPD-Space Method'!C24="","",'6d. Interior LPD-Space Method'!C24)</f>
        <v/>
      </c>
      <c r="D24" s="223" t="str">
        <f>IF('6d. Interior LPD-Space Method'!D24="","",'6d. Interior LPD-Space Method'!D24)</f>
        <v/>
      </c>
      <c r="E24" s="224" t="str">
        <f>IF('6d. Interior LPD-Space Method'!E24="","",'6d. Interior LPD-Space Method'!E24)</f>
        <v/>
      </c>
      <c r="F24" s="156"/>
      <c r="G24" s="156"/>
      <c r="H24" s="97" t="str">
        <f>IF($A24="","",IF($B24="","",VLOOKUP($A24,'GSG LPD'!$A$2:$B$106,2)))</f>
        <v/>
      </c>
      <c r="I24" s="223" t="str">
        <f>IF('6d. Interior LPD-Space Method'!F24="","",'6d. Interior LPD-Space Method'!F24)</f>
        <v/>
      </c>
      <c r="J24" s="223" t="str">
        <f>IF('6d. Interior LPD-Space Method'!G24="","",'6d. Interior LPD-Space Method'!G24)</f>
        <v/>
      </c>
      <c r="K24" s="225" t="str">
        <f>IF('6d. Interior LPD-Space Method'!H24="","",'6d. Interior LPD-Space Method'!H24)</f>
        <v/>
      </c>
    </row>
    <row r="25" spans="1:11" x14ac:dyDescent="0.25">
      <c r="A25" s="221" t="str">
        <f>IF('6d. Interior LPD-Space Method'!A25="","",'6d. Interior LPD-Space Method'!A25)</f>
        <v/>
      </c>
      <c r="B25" s="222" t="str">
        <f>IF('6d. Interior LPD-Space Method'!B25="","",'6d. Interior LPD-Space Method'!B25)</f>
        <v/>
      </c>
      <c r="C25" s="223" t="str">
        <f>IF('6d. Interior LPD-Space Method'!C25="","",'6d. Interior LPD-Space Method'!C25)</f>
        <v/>
      </c>
      <c r="D25" s="223" t="str">
        <f>IF('6d. Interior LPD-Space Method'!D25="","",'6d. Interior LPD-Space Method'!D25)</f>
        <v/>
      </c>
      <c r="E25" s="224" t="str">
        <f>IF('6d. Interior LPD-Space Method'!E25="","",'6d. Interior LPD-Space Method'!E25)</f>
        <v/>
      </c>
      <c r="F25" s="156"/>
      <c r="G25" s="156"/>
      <c r="H25" s="97" t="str">
        <f>IF($A25="","",IF($B25="","",VLOOKUP($A25,'GSG LPD'!$A$2:$B$106,2)))</f>
        <v/>
      </c>
      <c r="I25" s="223" t="str">
        <f>IF('6d. Interior LPD-Space Method'!F25="","",'6d. Interior LPD-Space Method'!F25)</f>
        <v/>
      </c>
      <c r="J25" s="223" t="str">
        <f>IF('6d. Interior LPD-Space Method'!G25="","",'6d. Interior LPD-Space Method'!G25)</f>
        <v/>
      </c>
      <c r="K25" s="225" t="str">
        <f>IF('6d. Interior LPD-Space Method'!H25="","",'6d. Interior LPD-Space Method'!H25)</f>
        <v/>
      </c>
    </row>
    <row r="26" spans="1:11" x14ac:dyDescent="0.25">
      <c r="A26" s="221" t="str">
        <f>IF('6d. Interior LPD-Space Method'!A26="","",'6d. Interior LPD-Space Method'!A26)</f>
        <v/>
      </c>
      <c r="B26" s="222" t="str">
        <f>IF('6d. Interior LPD-Space Method'!B26="","",'6d. Interior LPD-Space Method'!B26)</f>
        <v/>
      </c>
      <c r="C26" s="223" t="str">
        <f>IF('6d. Interior LPD-Space Method'!C26="","",'6d. Interior LPD-Space Method'!C26)</f>
        <v/>
      </c>
      <c r="D26" s="223" t="str">
        <f>IF('6d. Interior LPD-Space Method'!D26="","",'6d. Interior LPD-Space Method'!D26)</f>
        <v/>
      </c>
      <c r="E26" s="224" t="str">
        <f>IF('6d. Interior LPD-Space Method'!E26="","",'6d. Interior LPD-Space Method'!E26)</f>
        <v/>
      </c>
      <c r="F26" s="156"/>
      <c r="G26" s="156"/>
      <c r="H26" s="97" t="str">
        <f>IF($A26="","",IF($B26="","",VLOOKUP($A26,'GSG LPD'!$A$2:$B$106,2)))</f>
        <v/>
      </c>
      <c r="I26" s="223" t="str">
        <f>IF('6d. Interior LPD-Space Method'!F26="","",'6d. Interior LPD-Space Method'!F26)</f>
        <v/>
      </c>
      <c r="J26" s="223" t="str">
        <f>IF('6d. Interior LPD-Space Method'!G26="","",'6d. Interior LPD-Space Method'!G26)</f>
        <v/>
      </c>
      <c r="K26" s="225" t="str">
        <f>IF('6d. Interior LPD-Space Method'!H26="","",'6d. Interior LPD-Space Method'!H26)</f>
        <v/>
      </c>
    </row>
    <row r="27" spans="1:11" x14ac:dyDescent="0.25">
      <c r="A27" s="221" t="str">
        <f>IF('6d. Interior LPD-Space Method'!A27="","",'6d. Interior LPD-Space Method'!A27)</f>
        <v/>
      </c>
      <c r="B27" s="222" t="str">
        <f>IF('6d. Interior LPD-Space Method'!B27="","",'6d. Interior LPD-Space Method'!B27)</f>
        <v/>
      </c>
      <c r="C27" s="223" t="str">
        <f>IF('6d. Interior LPD-Space Method'!C27="","",'6d. Interior LPD-Space Method'!C27)</f>
        <v/>
      </c>
      <c r="D27" s="223" t="str">
        <f>IF('6d. Interior LPD-Space Method'!D27="","",'6d. Interior LPD-Space Method'!D27)</f>
        <v/>
      </c>
      <c r="E27" s="224" t="str">
        <f>IF('6d. Interior LPD-Space Method'!E27="","",'6d. Interior LPD-Space Method'!E27)</f>
        <v/>
      </c>
      <c r="F27" s="156"/>
      <c r="G27" s="156"/>
      <c r="H27" s="97" t="str">
        <f>IF($A27="","",IF($B27="","",VLOOKUP($A27,'GSG LPD'!$A$2:$B$106,2)))</f>
        <v/>
      </c>
      <c r="I27" s="223" t="str">
        <f>IF('6d. Interior LPD-Space Method'!F27="","",'6d. Interior LPD-Space Method'!F27)</f>
        <v/>
      </c>
      <c r="J27" s="223" t="str">
        <f>IF('6d. Interior LPD-Space Method'!G27="","",'6d. Interior LPD-Space Method'!G27)</f>
        <v/>
      </c>
      <c r="K27" s="225" t="str">
        <f>IF('6d. Interior LPD-Space Method'!H27="","",'6d. Interior LPD-Space Method'!H27)</f>
        <v/>
      </c>
    </row>
    <row r="28" spans="1:11" x14ac:dyDescent="0.25">
      <c r="A28" s="221" t="str">
        <f>IF('6d. Interior LPD-Space Method'!A28="","",'6d. Interior LPD-Space Method'!A28)</f>
        <v/>
      </c>
      <c r="B28" s="222" t="str">
        <f>IF('6d. Interior LPD-Space Method'!B28="","",'6d. Interior LPD-Space Method'!B28)</f>
        <v/>
      </c>
      <c r="C28" s="223" t="str">
        <f>IF('6d. Interior LPD-Space Method'!C28="","",'6d. Interior LPD-Space Method'!C28)</f>
        <v/>
      </c>
      <c r="D28" s="223" t="str">
        <f>IF('6d. Interior LPD-Space Method'!D28="","",'6d. Interior LPD-Space Method'!D28)</f>
        <v/>
      </c>
      <c r="E28" s="224" t="str">
        <f>IF('6d. Interior LPD-Space Method'!E28="","",'6d. Interior LPD-Space Method'!E28)</f>
        <v/>
      </c>
      <c r="F28" s="156"/>
      <c r="G28" s="156"/>
      <c r="H28" s="97" t="str">
        <f>IF($A28="","",IF($B28="","",VLOOKUP($A28,'GSG LPD'!$A$2:$B$106,2)))</f>
        <v/>
      </c>
      <c r="I28" s="223" t="str">
        <f>IF('6d. Interior LPD-Space Method'!F28="","",'6d. Interior LPD-Space Method'!F28)</f>
        <v/>
      </c>
      <c r="J28" s="223" t="str">
        <f>IF('6d. Interior LPD-Space Method'!G28="","",'6d. Interior LPD-Space Method'!G28)</f>
        <v/>
      </c>
      <c r="K28" s="225" t="str">
        <f>IF('6d. Interior LPD-Space Method'!H28="","",'6d. Interior LPD-Space Method'!H28)</f>
        <v/>
      </c>
    </row>
    <row r="29" spans="1:11" x14ac:dyDescent="0.25">
      <c r="A29" s="54" t="s">
        <v>54</v>
      </c>
      <c r="B29" s="99">
        <f>IF(B5="","",SUM(B5:B28))</f>
        <v>1</v>
      </c>
      <c r="C29" s="55"/>
      <c r="D29" s="55"/>
      <c r="E29" s="98">
        <f>IF(B29="","",SUMPRODUCT(B5:B28,E5:E28)/B29)</f>
        <v>1.24</v>
      </c>
      <c r="F29" s="98"/>
      <c r="G29" s="98"/>
      <c r="H29" s="98">
        <f>IF(B29="","",SUMPRODUCT($B5:$B28,H5:H28)/B29)</f>
        <v>1.24</v>
      </c>
      <c r="I29" s="55"/>
      <c r="J29" s="54"/>
      <c r="K29" s="98">
        <f>IF(K5="","",SUMPRODUCT(B5:B28,K5:K28)/B29)</f>
        <v>1.24</v>
      </c>
    </row>
    <row r="36" spans="3:3" x14ac:dyDescent="0.25">
      <c r="C36" s="160"/>
    </row>
  </sheetData>
  <mergeCells count="11">
    <mergeCell ref="J3:J4"/>
    <mergeCell ref="A2:A4"/>
    <mergeCell ref="B2:B4"/>
    <mergeCell ref="C2:E2"/>
    <mergeCell ref="F2:H2"/>
    <mergeCell ref="I2:K2"/>
    <mergeCell ref="C3:C4"/>
    <mergeCell ref="D3:D4"/>
    <mergeCell ref="F3:F4"/>
    <mergeCell ref="G3:G4"/>
    <mergeCell ref="I3:I4"/>
  </mergeCells>
  <dataValidations disablePrompts="1" count="1">
    <dataValidation type="list" allowBlank="1" showInputMessage="1" showErrorMessage="1" sqref="F5:G28">
      <formula1>Yes_No</formula1>
    </dataValidation>
  </dataValidations>
  <pageMargins left="0.25" right="0.25" top="0.75" bottom="0.75" header="0.3" footer="0.3"/>
  <pageSetup scale="80" orientation="portrait" r:id="rId1"/>
  <headerFooter>
    <oddHeader>&amp;LNYC SCA&amp;C&amp;A</oddHeader>
    <oddFooter xml:space="preserve">&amp;R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8"/>
  </sheetPr>
  <dimension ref="A3:J37"/>
  <sheetViews>
    <sheetView view="pageLayout" topLeftCell="A19" zoomScaleNormal="100" zoomScaleSheetLayoutView="115" workbookViewId="0">
      <selection activeCell="E41" sqref="E41"/>
    </sheetView>
  </sheetViews>
  <sheetFormatPr defaultRowHeight="15" x14ac:dyDescent="0.25"/>
  <cols>
    <col min="1" max="1" width="3.42578125" customWidth="1"/>
    <col min="2" max="2" width="13.140625" customWidth="1"/>
    <col min="3" max="3" width="12.7109375" customWidth="1"/>
    <col min="4" max="4" width="14.5703125" customWidth="1"/>
    <col min="5" max="6" width="14" customWidth="1"/>
  </cols>
  <sheetData>
    <row r="3" spans="1:10" ht="15" customHeight="1" x14ac:dyDescent="0.25">
      <c r="A3" s="436" t="s">
        <v>272</v>
      </c>
      <c r="B3" s="437"/>
      <c r="C3" s="437"/>
      <c r="D3" s="437"/>
      <c r="E3" s="451"/>
    </row>
    <row r="4" spans="1:10" ht="22.5" x14ac:dyDescent="0.25">
      <c r="A4" s="444"/>
      <c r="B4" s="444"/>
      <c r="C4" s="366" t="s">
        <v>991</v>
      </c>
      <c r="D4" s="366" t="s">
        <v>992</v>
      </c>
      <c r="E4" s="366" t="s">
        <v>274</v>
      </c>
    </row>
    <row r="5" spans="1:10" ht="24" customHeight="1" x14ac:dyDescent="0.25">
      <c r="A5" s="444" t="s">
        <v>275</v>
      </c>
      <c r="B5" s="444"/>
      <c r="C5" s="224" t="str">
        <f>IF('6e. Ext LPD 6f. Process Equip.'!C5&gt;0,'6e. Ext LPD 6f. Process Equip.'!C5,"")</f>
        <v/>
      </c>
      <c r="D5" s="97" t="str">
        <f>C5</f>
        <v/>
      </c>
      <c r="E5" s="224" t="str">
        <f>IF('6e. Ext LPD 6f. Process Equip.'!D5&gt;0,'6e. Ext LPD 6f. Process Equip.'!D5,"")</f>
        <v/>
      </c>
    </row>
    <row r="6" spans="1:10" ht="24" customHeight="1" x14ac:dyDescent="0.25">
      <c r="A6" s="444" t="s">
        <v>276</v>
      </c>
      <c r="B6" s="444"/>
      <c r="C6" s="224" t="str">
        <f>IF('6e. Ext LPD 6f. Process Equip.'!C6&gt;0,'6e. Ext LPD 6f. Process Equip.'!C6,"")</f>
        <v/>
      </c>
      <c r="D6" s="97" t="str">
        <f t="shared" ref="D6:D8" si="0">C6</f>
        <v/>
      </c>
      <c r="E6" s="224" t="str">
        <f>IF('6e. Ext LPD 6f. Process Equip.'!D6&gt;0,'6e. Ext LPD 6f. Process Equip.'!D6,"")</f>
        <v/>
      </c>
    </row>
    <row r="7" spans="1:10" x14ac:dyDescent="0.25">
      <c r="A7" s="444" t="s">
        <v>575</v>
      </c>
      <c r="B7" s="444"/>
      <c r="C7" s="224" t="str">
        <f>IF('6e. Ext LPD 6f. Process Equip.'!C7&gt;0,'6e. Ext LPD 6f. Process Equip.'!C7,"")</f>
        <v/>
      </c>
      <c r="D7" s="97" t="str">
        <f t="shared" si="0"/>
        <v/>
      </c>
      <c r="E7" s="224" t="str">
        <f>IF('6e. Ext LPD 6f. Process Equip.'!D7&gt;0,'6e. Ext LPD 6f. Process Equip.'!D7,"")</f>
        <v/>
      </c>
    </row>
    <row r="8" spans="1:10" ht="23.25" customHeight="1" x14ac:dyDescent="0.25">
      <c r="A8" s="444" t="s">
        <v>277</v>
      </c>
      <c r="B8" s="444"/>
      <c r="C8" s="224" t="str">
        <f>IF('6e. Ext LPD 6f. Process Equip.'!C8&gt;0,'6e. Ext LPD 6f. Process Equip.'!C8,"")</f>
        <v/>
      </c>
      <c r="D8" s="97" t="str">
        <f t="shared" si="0"/>
        <v/>
      </c>
      <c r="E8" s="224" t="str">
        <f>IF('6e. Ext LPD 6f. Process Equip.'!D8&gt;0,'6e. Ext LPD 6f. Process Equip.'!D8,"")</f>
        <v/>
      </c>
    </row>
    <row r="9" spans="1:10" x14ac:dyDescent="0.25">
      <c r="A9" s="75"/>
    </row>
    <row r="12" spans="1:10" ht="15" customHeight="1" x14ac:dyDescent="0.25">
      <c r="A12" s="369" t="s">
        <v>340</v>
      </c>
      <c r="B12" s="370"/>
      <c r="C12" s="370"/>
      <c r="D12" s="370"/>
      <c r="E12" s="370"/>
      <c r="F12" s="371"/>
    </row>
    <row r="13" spans="1:10" ht="45" customHeight="1" x14ac:dyDescent="0.25">
      <c r="A13" s="440" t="s">
        <v>341</v>
      </c>
      <c r="B13" s="452"/>
      <c r="C13" s="366" t="s">
        <v>342</v>
      </c>
      <c r="D13" s="366" t="s">
        <v>993</v>
      </c>
      <c r="E13" s="366" t="s">
        <v>994</v>
      </c>
      <c r="F13" s="366" t="s">
        <v>995</v>
      </c>
    </row>
    <row r="14" spans="1:10" x14ac:dyDescent="0.25">
      <c r="A14" s="442"/>
      <c r="B14" s="453"/>
      <c r="C14" s="156" t="s">
        <v>345</v>
      </c>
      <c r="D14" s="100" t="str">
        <f>IF(C14="","",IF(C14="#","kW","W/SF"))</f>
        <v>W/SF</v>
      </c>
      <c r="E14" s="100" t="str">
        <f>IF(D14="","",IF(D14="#","kW","W/SF"))</f>
        <v>W/SF</v>
      </c>
      <c r="F14" s="366"/>
    </row>
    <row r="15" spans="1:10" x14ac:dyDescent="0.25">
      <c r="A15" s="450" t="str">
        <f>IF('6e. Ext LPD 6f. Process Equip.'!A15&lt;&gt;"",'6e. Ext LPD 6f. Process Equip.'!A15:B15,"")</f>
        <v/>
      </c>
      <c r="B15" s="450"/>
      <c r="C15" s="224" t="str">
        <f>IF('6e. Ext LPD 6f. Process Equip.'!B15&lt;&gt;"",'6e. Ext LPD 6f. Process Equip.'!B15:C15,"")</f>
        <v/>
      </c>
      <c r="D15" s="224" t="str">
        <f>IF('6e. Ext LPD 6f. Process Equip.'!C15&lt;&gt;"",'6e. Ext LPD 6f. Process Equip.'!C15:D15,"")</f>
        <v/>
      </c>
      <c r="E15" s="97" t="str">
        <f>D15</f>
        <v/>
      </c>
      <c r="F15" s="156" t="str">
        <f>E15</f>
        <v/>
      </c>
      <c r="J15" s="163"/>
    </row>
    <row r="16" spans="1:10" x14ac:dyDescent="0.25">
      <c r="A16" s="450" t="str">
        <f>IF('6e. Ext LPD 6f. Process Equip.'!A16&lt;&gt;"",'6e. Ext LPD 6f. Process Equip.'!A16:B16,"")</f>
        <v/>
      </c>
      <c r="B16" s="450"/>
      <c r="C16" s="224" t="str">
        <f>IF('6e. Ext LPD 6f. Process Equip.'!B16&lt;&gt;"",'6e. Ext LPD 6f. Process Equip.'!B16:C16,"")</f>
        <v/>
      </c>
      <c r="D16" s="224" t="str">
        <f>IF('6e. Ext LPD 6f. Process Equip.'!C16&lt;&gt;"",'6e. Ext LPD 6f. Process Equip.'!C16:D16,"")</f>
        <v/>
      </c>
      <c r="E16" s="97" t="str">
        <f t="shared" ref="E16:F16" si="1">D16</f>
        <v/>
      </c>
      <c r="F16" s="156" t="str">
        <f t="shared" si="1"/>
        <v/>
      </c>
      <c r="J16" s="163"/>
    </row>
    <row r="17" spans="1:6" x14ac:dyDescent="0.25">
      <c r="A17" s="450" t="str">
        <f>IF('6e. Ext LPD 6f. Process Equip.'!A17&lt;&gt;"",'6e. Ext LPD 6f. Process Equip.'!A17:B17,"")</f>
        <v/>
      </c>
      <c r="B17" s="450"/>
      <c r="C17" s="224" t="str">
        <f>IF('6e. Ext LPD 6f. Process Equip.'!B17&lt;&gt;"",'6e. Ext LPD 6f. Process Equip.'!B17:C17,"")</f>
        <v/>
      </c>
      <c r="D17" s="224" t="str">
        <f>IF('6e. Ext LPD 6f. Process Equip.'!C17&lt;&gt;"",'6e. Ext LPD 6f. Process Equip.'!C17:D17,"")</f>
        <v/>
      </c>
      <c r="E17" s="97" t="str">
        <f t="shared" ref="E17:F17" si="2">D17</f>
        <v/>
      </c>
      <c r="F17" s="156" t="str">
        <f t="shared" si="2"/>
        <v/>
      </c>
    </row>
    <row r="18" spans="1:6" x14ac:dyDescent="0.25">
      <c r="A18" s="450" t="str">
        <f>IF('6e. Ext LPD 6f. Process Equip.'!A18&lt;&gt;"",'6e. Ext LPD 6f. Process Equip.'!A18:B18,"")</f>
        <v/>
      </c>
      <c r="B18" s="450"/>
      <c r="C18" s="224" t="str">
        <f>IF('6e. Ext LPD 6f. Process Equip.'!B18&lt;&gt;"",'6e. Ext LPD 6f. Process Equip.'!B18:C18,"")</f>
        <v/>
      </c>
      <c r="D18" s="224" t="str">
        <f>IF('6e. Ext LPD 6f. Process Equip.'!C18&lt;&gt;"",'6e. Ext LPD 6f. Process Equip.'!C18:D18,"")</f>
        <v/>
      </c>
      <c r="E18" s="97" t="str">
        <f t="shared" ref="E18:F18" si="3">D18</f>
        <v/>
      </c>
      <c r="F18" s="156" t="str">
        <f t="shared" si="3"/>
        <v/>
      </c>
    </row>
    <row r="19" spans="1:6" x14ac:dyDescent="0.25">
      <c r="A19" s="450" t="str">
        <f>IF('6e. Ext LPD 6f. Process Equip.'!A19&lt;&gt;"",'6e. Ext LPD 6f. Process Equip.'!A19:B19,"")</f>
        <v/>
      </c>
      <c r="B19" s="450"/>
      <c r="C19" s="224" t="str">
        <f>IF('6e. Ext LPD 6f. Process Equip.'!B19&lt;&gt;"",'6e. Ext LPD 6f. Process Equip.'!B19:C19,"")</f>
        <v/>
      </c>
      <c r="D19" s="224" t="str">
        <f>IF('6e. Ext LPD 6f. Process Equip.'!C19&lt;&gt;"",'6e. Ext LPD 6f. Process Equip.'!C19:D19,"")</f>
        <v/>
      </c>
      <c r="E19" s="97" t="str">
        <f t="shared" ref="E19:F19" si="4">D19</f>
        <v/>
      </c>
      <c r="F19" s="156" t="str">
        <f t="shared" si="4"/>
        <v/>
      </c>
    </row>
    <row r="20" spans="1:6" x14ac:dyDescent="0.25">
      <c r="A20" s="450" t="str">
        <f>IF('6e. Ext LPD 6f. Process Equip.'!A20&lt;&gt;"",'6e. Ext LPD 6f. Process Equip.'!A20:B20,"")</f>
        <v/>
      </c>
      <c r="B20" s="450"/>
      <c r="C20" s="224" t="str">
        <f>IF('6e. Ext LPD 6f. Process Equip.'!B20&lt;&gt;"",'6e. Ext LPD 6f. Process Equip.'!B20:C20,"")</f>
        <v/>
      </c>
      <c r="D20" s="224" t="str">
        <f>IF('6e. Ext LPD 6f. Process Equip.'!C20&lt;&gt;"",'6e. Ext LPD 6f. Process Equip.'!C20:D20,"")</f>
        <v/>
      </c>
      <c r="E20" s="97" t="str">
        <f t="shared" ref="E20:F20" si="5">D20</f>
        <v/>
      </c>
      <c r="F20" s="156" t="str">
        <f t="shared" si="5"/>
        <v/>
      </c>
    </row>
    <row r="21" spans="1:6" x14ac:dyDescent="0.25">
      <c r="A21" s="450" t="str">
        <f>IF('6e. Ext LPD 6f. Process Equip.'!A21&lt;&gt;"",'6e. Ext LPD 6f. Process Equip.'!A21:B21,"")</f>
        <v/>
      </c>
      <c r="B21" s="450"/>
      <c r="C21" s="224" t="str">
        <f>IF('6e. Ext LPD 6f. Process Equip.'!B21&lt;&gt;"",'6e. Ext LPD 6f. Process Equip.'!B21:C21,"")</f>
        <v/>
      </c>
      <c r="D21" s="224" t="str">
        <f>IF('6e. Ext LPD 6f. Process Equip.'!C21&lt;&gt;"",'6e. Ext LPD 6f. Process Equip.'!C21:D21,"")</f>
        <v/>
      </c>
      <c r="E21" s="97" t="str">
        <f t="shared" ref="E21:F21" si="6">D21</f>
        <v/>
      </c>
      <c r="F21" s="156" t="str">
        <f t="shared" si="6"/>
        <v/>
      </c>
    </row>
    <row r="22" spans="1:6" x14ac:dyDescent="0.25">
      <c r="A22" s="450" t="str">
        <f>IF('6e. Ext LPD 6f. Process Equip.'!A22&lt;&gt;"",'6e. Ext LPD 6f. Process Equip.'!A22:B22,"")</f>
        <v/>
      </c>
      <c r="B22" s="450"/>
      <c r="C22" s="224" t="str">
        <f>IF('6e. Ext LPD 6f. Process Equip.'!B22&lt;&gt;"",'6e. Ext LPD 6f. Process Equip.'!B22:C22,"")</f>
        <v/>
      </c>
      <c r="D22" s="224" t="str">
        <f>IF('6e. Ext LPD 6f. Process Equip.'!C22&lt;&gt;"",'6e. Ext LPD 6f. Process Equip.'!C22:D22,"")</f>
        <v/>
      </c>
      <c r="E22" s="97" t="str">
        <f t="shared" ref="E22:F22" si="7">D22</f>
        <v/>
      </c>
      <c r="F22" s="156" t="str">
        <f t="shared" si="7"/>
        <v/>
      </c>
    </row>
    <row r="23" spans="1:6" x14ac:dyDescent="0.25">
      <c r="A23" s="450" t="str">
        <f>IF('6e. Ext LPD 6f. Process Equip.'!A23&lt;&gt;"",'6e. Ext LPD 6f. Process Equip.'!A23:B23,"")</f>
        <v/>
      </c>
      <c r="B23" s="450"/>
      <c r="C23" s="224" t="str">
        <f>IF('6e. Ext LPD 6f. Process Equip.'!B23&lt;&gt;"",'6e. Ext LPD 6f. Process Equip.'!B23:C23,"")</f>
        <v/>
      </c>
      <c r="D23" s="224" t="str">
        <f>IF('6e. Ext LPD 6f. Process Equip.'!C23&lt;&gt;"",'6e. Ext LPD 6f. Process Equip.'!C23:D23,"")</f>
        <v/>
      </c>
      <c r="E23" s="97" t="str">
        <f t="shared" ref="E23:F23" si="8">D23</f>
        <v/>
      </c>
      <c r="F23" s="156" t="str">
        <f t="shared" si="8"/>
        <v/>
      </c>
    </row>
    <row r="24" spans="1:6" x14ac:dyDescent="0.25">
      <c r="A24" s="450" t="str">
        <f>IF('6e. Ext LPD 6f. Process Equip.'!A24&lt;&gt;"",'6e. Ext LPD 6f. Process Equip.'!A24:B24,"")</f>
        <v/>
      </c>
      <c r="B24" s="450"/>
      <c r="C24" s="224" t="str">
        <f>IF('6e. Ext LPD 6f. Process Equip.'!B24&lt;&gt;"",'6e. Ext LPD 6f. Process Equip.'!B24:C24,"")</f>
        <v/>
      </c>
      <c r="D24" s="224" t="str">
        <f>IF('6e. Ext LPD 6f. Process Equip.'!C24&lt;&gt;"",'6e. Ext LPD 6f. Process Equip.'!C24:D24,"")</f>
        <v/>
      </c>
      <c r="E24" s="97" t="str">
        <f t="shared" ref="E24:F24" si="9">D24</f>
        <v/>
      </c>
      <c r="F24" s="156" t="str">
        <f t="shared" si="9"/>
        <v/>
      </c>
    </row>
    <row r="25" spans="1:6" x14ac:dyDescent="0.25">
      <c r="A25" s="450" t="str">
        <f>IF('6e. Ext LPD 6f. Process Equip.'!A25&lt;&gt;"",'6e. Ext LPD 6f. Process Equip.'!A25:B25,"")</f>
        <v/>
      </c>
      <c r="B25" s="450"/>
      <c r="C25" s="224" t="str">
        <f>IF('6e. Ext LPD 6f. Process Equip.'!B25&lt;&gt;"",'6e. Ext LPD 6f. Process Equip.'!B25:C25,"")</f>
        <v/>
      </c>
      <c r="D25" s="224" t="str">
        <f>IF('6e. Ext LPD 6f. Process Equip.'!C25&lt;&gt;"",'6e. Ext LPD 6f. Process Equip.'!C25:D25,"")</f>
        <v/>
      </c>
      <c r="E25" s="97" t="str">
        <f t="shared" ref="E25:F25" si="10">D25</f>
        <v/>
      </c>
      <c r="F25" s="156" t="str">
        <f t="shared" si="10"/>
        <v/>
      </c>
    </row>
    <row r="26" spans="1:6" x14ac:dyDescent="0.25">
      <c r="A26" s="450" t="str">
        <f>IF('6e. Ext LPD 6f. Process Equip.'!A26&lt;&gt;"",'6e. Ext LPD 6f. Process Equip.'!A26:B26,"")</f>
        <v/>
      </c>
      <c r="B26" s="450"/>
      <c r="C26" s="224" t="str">
        <f>IF('6e. Ext LPD 6f. Process Equip.'!B26&lt;&gt;"",'6e. Ext LPD 6f. Process Equip.'!B26:C26,"")</f>
        <v/>
      </c>
      <c r="D26" s="224" t="str">
        <f>IF('6e. Ext LPD 6f. Process Equip.'!C26&lt;&gt;"",'6e. Ext LPD 6f. Process Equip.'!C26:D26,"")</f>
        <v/>
      </c>
      <c r="E26" s="97" t="str">
        <f t="shared" ref="E26:F26" si="11">D26</f>
        <v/>
      </c>
      <c r="F26" s="156" t="str">
        <f t="shared" si="11"/>
        <v/>
      </c>
    </row>
    <row r="27" spans="1:6" x14ac:dyDescent="0.25">
      <c r="A27" s="444" t="s">
        <v>128</v>
      </c>
      <c r="B27" s="444"/>
      <c r="C27" s="103" t="str">
        <f>IF(SUM(C15:C26)=0,"",SUM(C15:C26))</f>
        <v/>
      </c>
      <c r="D27" s="367" t="str">
        <f>IFERROR(SUMPRODUCT($C$15:$C$26,D15:D26)/$C$27,"")</f>
        <v/>
      </c>
      <c r="E27" s="367" t="str">
        <f t="shared" ref="E27:F27" si="12">IFERROR(SUMPRODUCT($C$15:$C$26,E15:E26)/$C$27,"")</f>
        <v/>
      </c>
      <c r="F27" s="367" t="str">
        <f t="shared" si="12"/>
        <v/>
      </c>
    </row>
    <row r="30" spans="1:6" x14ac:dyDescent="0.25">
      <c r="A30" s="369" t="s">
        <v>996</v>
      </c>
      <c r="B30" s="370"/>
      <c r="C30" s="370"/>
      <c r="D30" s="370"/>
      <c r="E30" s="371"/>
    </row>
    <row r="31" spans="1:6" x14ac:dyDescent="0.25">
      <c r="A31" s="369" t="s">
        <v>997</v>
      </c>
      <c r="B31" s="370"/>
      <c r="C31" s="370"/>
      <c r="D31" s="372"/>
      <c r="E31" s="371"/>
    </row>
    <row r="32" spans="1:6" x14ac:dyDescent="0.25">
      <c r="A32" s="369" t="s">
        <v>998</v>
      </c>
      <c r="B32" s="370"/>
      <c r="C32" s="370"/>
      <c r="D32" s="372"/>
      <c r="E32" s="371"/>
    </row>
    <row r="33" spans="1:5" x14ac:dyDescent="0.25">
      <c r="A33" s="369" t="s">
        <v>999</v>
      </c>
      <c r="B33" s="370"/>
      <c r="C33" s="370"/>
      <c r="D33" s="372"/>
      <c r="E33" s="373" t="s">
        <v>1028</v>
      </c>
    </row>
    <row r="34" spans="1:5" x14ac:dyDescent="0.25">
      <c r="A34" s="369" t="s">
        <v>1000</v>
      </c>
      <c r="B34" s="370"/>
      <c r="C34" s="370"/>
      <c r="D34" s="372"/>
      <c r="E34" s="373" t="str">
        <f>VLOOKUP(D$31,GSG_List!$A$145:$G$152,2,TRUE)</f>
        <v xml:space="preserve"> </v>
      </c>
    </row>
    <row r="35" spans="1:5" x14ac:dyDescent="0.25">
      <c r="A35" s="369" t="s">
        <v>1001</v>
      </c>
      <c r="B35" s="370"/>
      <c r="C35" s="370"/>
      <c r="D35" s="372"/>
      <c r="E35" s="373" t="str">
        <f>VLOOKUP(D$31,GSG_List!$A$145:$G$152,3,TRUE)</f>
        <v xml:space="preserve"> </v>
      </c>
    </row>
    <row r="36" spans="1:5" x14ac:dyDescent="0.25">
      <c r="A36" s="369" t="s">
        <v>1002</v>
      </c>
      <c r="B36" s="370"/>
      <c r="C36" s="370"/>
      <c r="D36" s="372"/>
      <c r="E36" s="373" t="str">
        <f>IF(D33="Electric",VLOOKUP(D$31,GSG_List!$A$145:$G$152,5,TRUE),VLOOKUP(D$31,GSG_List!$A$145:$G$152,4,TRUE))</f>
        <v xml:space="preserve"> </v>
      </c>
    </row>
    <row r="37" spans="1:5" x14ac:dyDescent="0.25">
      <c r="A37" s="369" t="s">
        <v>1003</v>
      </c>
      <c r="B37" s="370"/>
      <c r="C37" s="370"/>
      <c r="D37" s="372"/>
      <c r="E37" s="373" t="str">
        <f>IF(D$33="Electric",VLOOKUP(D$31,GSG_List!$A$145:$G$152,7,TRUE),VLOOKUP(D$31,GSG_List!$A$145:$G$152,6,TRUE))</f>
        <v xml:space="preserve"> </v>
      </c>
    </row>
  </sheetData>
  <mergeCells count="20">
    <mergeCell ref="A27:B27"/>
    <mergeCell ref="A3:E3"/>
    <mergeCell ref="A19:B19"/>
    <mergeCell ref="A20:B20"/>
    <mergeCell ref="A21:B21"/>
    <mergeCell ref="A22:B22"/>
    <mergeCell ref="A23:B23"/>
    <mergeCell ref="A24:B24"/>
    <mergeCell ref="A13:B14"/>
    <mergeCell ref="A15:B15"/>
    <mergeCell ref="A16:B16"/>
    <mergeCell ref="A17:B17"/>
    <mergeCell ref="A18:B18"/>
    <mergeCell ref="A4:B4"/>
    <mergeCell ref="A5:B5"/>
    <mergeCell ref="A6:B6"/>
    <mergeCell ref="A7:B7"/>
    <mergeCell ref="A8:B8"/>
    <mergeCell ref="A25:B25"/>
    <mergeCell ref="A26:B26"/>
  </mergeCells>
  <pageMargins left="0.7" right="0.7" top="0.75" bottom="0.75" header="0.3" footer="0.3"/>
  <pageSetup orientation="portrait" r:id="rId1"/>
  <headerFooter>
    <oddHeader>&amp;LNYC SCA&amp;CExterior LPD &amp; Process Equipment Summary</oddHead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Lists!$Q$1:$Q$2</xm:f>
          </x14:formula1>
          <xm:sqref>C14</xm:sqref>
        </x14:dataValidation>
        <x14:dataValidation type="list" allowBlank="1" showInputMessage="1" showErrorMessage="1">
          <x14:formula1>
            <xm:f>GSG_List!$A$122:$A$123</xm:f>
          </x14:formula1>
          <xm:sqref>D32</xm:sqref>
        </x14:dataValidation>
        <x14:dataValidation type="list" allowBlank="1" showInputMessage="1" showErrorMessage="1">
          <x14:formula1>
            <xm:f>GSG_List!$A$126:$A$128</xm:f>
          </x14:formula1>
          <xm:sqref>D33</xm:sqref>
        </x14:dataValidation>
        <x14:dataValidation type="list" allowBlank="1" showInputMessage="1" showErrorMessage="1">
          <x14:formula1>
            <xm:f>GSG_List!$A$131:$A$135</xm:f>
          </x14:formula1>
          <xm:sqref>D35</xm:sqref>
        </x14:dataValidation>
        <x14:dataValidation type="list" allowBlank="1" showInputMessage="1" showErrorMessage="1">
          <x14:formula1>
            <xm:f>GSG_List!$A$138:$A$140</xm:f>
          </x14:formula1>
          <xm:sqref>D37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sheetPr>
  <dimension ref="A2:G48"/>
  <sheetViews>
    <sheetView view="pageLayout" zoomScale="70" zoomScaleNormal="100" zoomScaleSheetLayoutView="85" zoomScalePageLayoutView="70" workbookViewId="0">
      <selection activeCell="B7" sqref="B7:C7"/>
    </sheetView>
  </sheetViews>
  <sheetFormatPr defaultRowHeight="15" x14ac:dyDescent="0.25"/>
  <cols>
    <col min="1" max="1" width="20.7109375" customWidth="1"/>
    <col min="2" max="2" width="25.7109375" customWidth="1"/>
    <col min="3" max="3" width="6" customWidth="1"/>
    <col min="4" max="4" width="25.85546875" customWidth="1"/>
    <col min="5" max="5" width="5.85546875" customWidth="1"/>
    <col min="6" max="6" width="25.7109375" customWidth="1"/>
    <col min="7" max="7" width="6" customWidth="1"/>
  </cols>
  <sheetData>
    <row r="2" spans="1:7" ht="15.75" customHeight="1" x14ac:dyDescent="0.25">
      <c r="A2" s="466" t="s">
        <v>89</v>
      </c>
      <c r="B2" s="467"/>
      <c r="C2" s="467"/>
      <c r="D2" s="467"/>
      <c r="E2" s="467"/>
      <c r="F2" s="467"/>
      <c r="G2" s="468"/>
    </row>
    <row r="3" spans="1:7" ht="38.25" customHeight="1" x14ac:dyDescent="0.25">
      <c r="A3" s="469"/>
      <c r="B3" s="435" t="s">
        <v>933</v>
      </c>
      <c r="C3" s="435"/>
      <c r="D3" s="435" t="s">
        <v>802</v>
      </c>
      <c r="E3" s="435"/>
      <c r="F3" s="471" t="s">
        <v>375</v>
      </c>
      <c r="G3" s="472"/>
    </row>
    <row r="4" spans="1:7" ht="25.5" customHeight="1" x14ac:dyDescent="0.25">
      <c r="A4" s="470"/>
      <c r="B4" s="217" t="s">
        <v>430</v>
      </c>
      <c r="C4" s="214" t="s">
        <v>2</v>
      </c>
      <c r="D4" s="217" t="s">
        <v>430</v>
      </c>
      <c r="E4" s="214" t="s">
        <v>2</v>
      </c>
      <c r="F4" s="217" t="s">
        <v>430</v>
      </c>
      <c r="G4" s="214" t="s">
        <v>2</v>
      </c>
    </row>
    <row r="5" spans="1:7" x14ac:dyDescent="0.25">
      <c r="A5" s="212" t="s">
        <v>803</v>
      </c>
      <c r="B5" s="454"/>
      <c r="C5" s="454"/>
      <c r="D5" s="462"/>
      <c r="E5" s="463"/>
      <c r="F5" s="464"/>
      <c r="G5" s="465"/>
    </row>
    <row r="6" spans="1:7" ht="24" customHeight="1" x14ac:dyDescent="0.25">
      <c r="A6" s="214" t="s">
        <v>3</v>
      </c>
      <c r="B6" s="454"/>
      <c r="C6" s="454"/>
      <c r="D6" s="454"/>
      <c r="E6" s="454"/>
      <c r="F6" s="454"/>
      <c r="G6" s="454"/>
    </row>
    <row r="7" spans="1:7" ht="26.25" customHeight="1" x14ac:dyDescent="0.25">
      <c r="A7" s="214" t="s">
        <v>351</v>
      </c>
      <c r="B7" s="454"/>
      <c r="C7" s="454"/>
      <c r="D7" s="454"/>
      <c r="E7" s="454"/>
      <c r="F7" s="454"/>
      <c r="G7" s="454"/>
    </row>
    <row r="8" spans="1:7" ht="24.75" customHeight="1" x14ac:dyDescent="0.25">
      <c r="A8" s="214" t="s">
        <v>4</v>
      </c>
      <c r="B8" s="215"/>
      <c r="C8" s="238" t="s">
        <v>333</v>
      </c>
      <c r="D8" s="215"/>
      <c r="E8" s="238" t="s">
        <v>333</v>
      </c>
      <c r="F8" s="215"/>
      <c r="G8" s="238" t="s">
        <v>333</v>
      </c>
    </row>
    <row r="9" spans="1:7" ht="24" customHeight="1" x14ac:dyDescent="0.25">
      <c r="A9" s="214" t="s">
        <v>5</v>
      </c>
      <c r="B9" s="215"/>
      <c r="C9" s="238" t="s">
        <v>333</v>
      </c>
      <c r="D9" s="215"/>
      <c r="E9" s="238" t="s">
        <v>333</v>
      </c>
      <c r="F9" s="215"/>
      <c r="G9" s="238" t="s">
        <v>333</v>
      </c>
    </row>
    <row r="10" spans="1:7" ht="22.5" x14ac:dyDescent="0.25">
      <c r="A10" s="211" t="s">
        <v>354</v>
      </c>
      <c r="B10" s="239"/>
      <c r="C10" s="171" t="s">
        <v>357</v>
      </c>
      <c r="D10" s="239"/>
      <c r="E10" s="171" t="s">
        <v>357</v>
      </c>
      <c r="F10" s="215"/>
      <c r="G10" s="171" t="s">
        <v>357</v>
      </c>
    </row>
    <row r="11" spans="1:7" ht="24" customHeight="1" x14ac:dyDescent="0.25">
      <c r="A11" s="214" t="s">
        <v>352</v>
      </c>
      <c r="B11" s="215"/>
      <c r="C11" s="238" t="s">
        <v>362</v>
      </c>
      <c r="D11" s="215"/>
      <c r="E11" s="215" t="s">
        <v>362</v>
      </c>
      <c r="F11" s="215"/>
      <c r="G11" s="215" t="s">
        <v>362</v>
      </c>
    </row>
    <row r="12" spans="1:7" ht="24" customHeight="1" x14ac:dyDescent="0.25">
      <c r="A12" s="214" t="s">
        <v>6</v>
      </c>
      <c r="B12" s="215"/>
      <c r="C12" s="238" t="s">
        <v>333</v>
      </c>
      <c r="D12" s="215"/>
      <c r="E12" s="238" t="s">
        <v>333</v>
      </c>
      <c r="F12" s="215"/>
      <c r="G12" s="238" t="s">
        <v>333</v>
      </c>
    </row>
    <row r="13" spans="1:7" ht="25.5" customHeight="1" x14ac:dyDescent="0.25">
      <c r="A13" s="214" t="s">
        <v>7</v>
      </c>
      <c r="B13" s="215"/>
      <c r="C13" s="238" t="s">
        <v>333</v>
      </c>
      <c r="D13" s="215"/>
      <c r="E13" s="238" t="s">
        <v>333</v>
      </c>
      <c r="F13" s="215"/>
      <c r="G13" s="238" t="s">
        <v>333</v>
      </c>
    </row>
    <row r="14" spans="1:7" ht="15" customHeight="1" x14ac:dyDescent="0.25">
      <c r="A14" s="214" t="s">
        <v>8</v>
      </c>
      <c r="B14" s="215"/>
      <c r="C14" s="238" t="s">
        <v>337</v>
      </c>
      <c r="D14" s="215"/>
      <c r="E14" s="238" t="s">
        <v>337</v>
      </c>
      <c r="F14" s="215"/>
      <c r="G14" s="238" t="s">
        <v>337</v>
      </c>
    </row>
    <row r="15" spans="1:7" ht="14.45" customHeight="1" x14ac:dyDescent="0.25">
      <c r="A15" s="214" t="s">
        <v>9</v>
      </c>
      <c r="B15" s="460"/>
      <c r="C15" s="461"/>
      <c r="D15" s="460"/>
      <c r="E15" s="461"/>
      <c r="F15" s="454"/>
      <c r="G15" s="454"/>
    </row>
    <row r="16" spans="1:7" ht="12.75" customHeight="1" x14ac:dyDescent="0.25">
      <c r="A16" s="214" t="s">
        <v>10</v>
      </c>
      <c r="B16" s="215"/>
      <c r="C16" s="215" t="s">
        <v>11</v>
      </c>
      <c r="D16" s="215"/>
      <c r="E16" s="215" t="s">
        <v>11</v>
      </c>
      <c r="F16" s="215"/>
      <c r="G16" s="215" t="s">
        <v>11</v>
      </c>
    </row>
    <row r="17" spans="1:7" ht="14.25" customHeight="1" x14ac:dyDescent="0.25">
      <c r="A17" s="214" t="s">
        <v>12</v>
      </c>
      <c r="B17" s="215"/>
      <c r="C17" s="215" t="s">
        <v>11</v>
      </c>
      <c r="D17" s="215"/>
      <c r="E17" s="215" t="s">
        <v>11</v>
      </c>
      <c r="F17" s="215"/>
      <c r="G17" s="215" t="s">
        <v>11</v>
      </c>
    </row>
    <row r="18" spans="1:7" ht="22.5" x14ac:dyDescent="0.25">
      <c r="A18" s="214" t="s">
        <v>13</v>
      </c>
      <c r="B18" s="454"/>
      <c r="C18" s="454"/>
      <c r="D18" s="454"/>
      <c r="E18" s="454"/>
      <c r="F18" s="454"/>
      <c r="G18" s="454"/>
    </row>
    <row r="19" spans="1:7" x14ac:dyDescent="0.25">
      <c r="A19" s="435" t="s">
        <v>14</v>
      </c>
      <c r="B19" s="215"/>
      <c r="C19" s="215"/>
      <c r="D19" s="215"/>
      <c r="E19" s="215"/>
      <c r="F19" s="215"/>
      <c r="G19" s="215"/>
    </row>
    <row r="20" spans="1:7" x14ac:dyDescent="0.25">
      <c r="A20" s="435"/>
      <c r="B20" s="215"/>
      <c r="C20" s="215"/>
      <c r="D20" s="215"/>
      <c r="E20" s="215"/>
      <c r="F20" s="215"/>
      <c r="G20" s="215"/>
    </row>
    <row r="21" spans="1:7" x14ac:dyDescent="0.25">
      <c r="A21" s="435"/>
      <c r="B21" s="215"/>
      <c r="C21" s="215"/>
      <c r="D21" s="215"/>
      <c r="E21" s="215"/>
      <c r="F21" s="215"/>
      <c r="G21" s="215"/>
    </row>
    <row r="22" spans="1:7" ht="27.75" customHeight="1" x14ac:dyDescent="0.25">
      <c r="A22" s="214" t="s">
        <v>22</v>
      </c>
      <c r="B22" s="454"/>
      <c r="C22" s="454"/>
      <c r="D22" s="454"/>
      <c r="E22" s="454"/>
      <c r="F22" s="454"/>
      <c r="G22" s="454"/>
    </row>
    <row r="23" spans="1:7" ht="36" customHeight="1" x14ac:dyDescent="0.25">
      <c r="A23" s="214" t="s">
        <v>53</v>
      </c>
      <c r="B23" s="454"/>
      <c r="C23" s="454"/>
      <c r="D23" s="454"/>
      <c r="E23" s="454"/>
      <c r="F23" s="454"/>
      <c r="G23" s="454"/>
    </row>
    <row r="24" spans="1:7" x14ac:dyDescent="0.25">
      <c r="A24" s="214" t="s">
        <v>15</v>
      </c>
      <c r="B24" s="215"/>
      <c r="C24" s="172" t="s">
        <v>16</v>
      </c>
      <c r="D24" s="215"/>
      <c r="E24" s="172" t="s">
        <v>16</v>
      </c>
      <c r="F24" s="215"/>
      <c r="G24" s="172" t="s">
        <v>16</v>
      </c>
    </row>
    <row r="25" spans="1:7" x14ac:dyDescent="0.25">
      <c r="A25" s="214" t="s">
        <v>17</v>
      </c>
      <c r="B25" s="215"/>
      <c r="C25" s="172" t="s">
        <v>16</v>
      </c>
      <c r="D25" s="215"/>
      <c r="E25" s="172" t="s">
        <v>16</v>
      </c>
      <c r="F25" s="215"/>
      <c r="G25" s="172" t="s">
        <v>16</v>
      </c>
    </row>
    <row r="26" spans="1:7" x14ac:dyDescent="0.25">
      <c r="A26" s="214" t="s">
        <v>18</v>
      </c>
      <c r="B26" s="215"/>
      <c r="C26" s="172" t="s">
        <v>16</v>
      </c>
      <c r="D26" s="215"/>
      <c r="E26" s="172" t="s">
        <v>16</v>
      </c>
      <c r="F26" s="215"/>
      <c r="G26" s="172" t="s">
        <v>16</v>
      </c>
    </row>
    <row r="27" spans="1:7" x14ac:dyDescent="0.25">
      <c r="A27" s="214" t="s">
        <v>19</v>
      </c>
      <c r="B27" s="215"/>
      <c r="C27" s="172" t="s">
        <v>16</v>
      </c>
      <c r="D27" s="215"/>
      <c r="E27" s="172" t="s">
        <v>16</v>
      </c>
      <c r="F27" s="215"/>
      <c r="G27" s="172" t="s">
        <v>16</v>
      </c>
    </row>
    <row r="28" spans="1:7" x14ac:dyDescent="0.25">
      <c r="A28" s="216" t="s">
        <v>20</v>
      </c>
      <c r="B28" s="215"/>
      <c r="C28" s="172" t="s">
        <v>16</v>
      </c>
      <c r="D28" s="215"/>
      <c r="E28" s="172" t="s">
        <v>16</v>
      </c>
      <c r="F28" s="215"/>
      <c r="G28" s="172" t="s">
        <v>16</v>
      </c>
    </row>
    <row r="29" spans="1:7" x14ac:dyDescent="0.25">
      <c r="A29" s="240" t="s">
        <v>804</v>
      </c>
      <c r="B29" s="240" t="s">
        <v>11</v>
      </c>
      <c r="C29" s="240" t="s">
        <v>805</v>
      </c>
      <c r="D29" s="240" t="s">
        <v>11</v>
      </c>
      <c r="E29" s="240" t="s">
        <v>805</v>
      </c>
      <c r="F29" s="240"/>
      <c r="G29" s="240"/>
    </row>
    <row r="30" spans="1:7" x14ac:dyDescent="0.25">
      <c r="A30" s="218" t="s">
        <v>806</v>
      </c>
      <c r="B30" s="156"/>
      <c r="C30" s="156">
        <v>0.5</v>
      </c>
      <c r="D30" s="156"/>
      <c r="E30" s="156">
        <v>0.5</v>
      </c>
      <c r="F30" s="457"/>
      <c r="G30" s="457"/>
    </row>
    <row r="31" spans="1:7" x14ac:dyDescent="0.25">
      <c r="A31" s="218" t="s">
        <v>807</v>
      </c>
      <c r="B31" s="156"/>
      <c r="C31" s="156">
        <v>0.9</v>
      </c>
      <c r="D31" s="156"/>
      <c r="E31" s="156">
        <v>0.9</v>
      </c>
      <c r="F31" s="457"/>
      <c r="G31" s="457"/>
    </row>
    <row r="32" spans="1:7" ht="33" customHeight="1" x14ac:dyDescent="0.25">
      <c r="A32" s="218" t="s">
        <v>808</v>
      </c>
      <c r="B32" s="156"/>
      <c r="C32" s="156">
        <v>0.6</v>
      </c>
      <c r="D32" s="156"/>
      <c r="E32" s="156">
        <v>0.6</v>
      </c>
      <c r="F32" s="457" t="s">
        <v>863</v>
      </c>
      <c r="G32" s="457"/>
    </row>
    <row r="33" spans="1:7" x14ac:dyDescent="0.25">
      <c r="A33" s="241" t="s">
        <v>809</v>
      </c>
      <c r="B33" s="242"/>
      <c r="C33" s="242">
        <v>0.15</v>
      </c>
      <c r="D33" s="242"/>
      <c r="E33" s="242">
        <v>0.15</v>
      </c>
      <c r="F33" s="458"/>
      <c r="G33" s="458"/>
    </row>
    <row r="34" spans="1:7" x14ac:dyDescent="0.25">
      <c r="A34" s="250" t="s">
        <v>615</v>
      </c>
      <c r="B34" s="243"/>
      <c r="C34" s="243"/>
      <c r="D34" s="243"/>
      <c r="E34" s="243"/>
      <c r="F34" s="459"/>
      <c r="G34" s="459"/>
    </row>
    <row r="35" spans="1:7" x14ac:dyDescent="0.25">
      <c r="A35" s="59" t="s">
        <v>615</v>
      </c>
      <c r="B35" s="156"/>
      <c r="C35" s="156"/>
      <c r="D35" s="215"/>
      <c r="E35" s="215"/>
      <c r="F35" s="457"/>
      <c r="G35" s="457"/>
    </row>
    <row r="36" spans="1:7" x14ac:dyDescent="0.25">
      <c r="A36" s="240"/>
      <c r="B36" s="455"/>
      <c r="C36" s="455"/>
      <c r="D36" s="455"/>
      <c r="E36" s="455"/>
      <c r="F36" s="455"/>
      <c r="G36" s="455"/>
    </row>
    <row r="37" spans="1:7" x14ac:dyDescent="0.25">
      <c r="A37" s="440" t="s">
        <v>821</v>
      </c>
      <c r="B37" s="251"/>
      <c r="C37" s="251"/>
      <c r="D37" s="251"/>
      <c r="E37" s="252"/>
      <c r="F37" s="454"/>
      <c r="G37" s="454"/>
    </row>
    <row r="38" spans="1:7" x14ac:dyDescent="0.25">
      <c r="A38" s="456"/>
      <c r="B38" s="253"/>
      <c r="C38" s="253"/>
      <c r="D38" s="253"/>
      <c r="E38" s="254"/>
      <c r="F38" s="454"/>
      <c r="G38" s="454"/>
    </row>
    <row r="39" spans="1:7" x14ac:dyDescent="0.25">
      <c r="A39" s="456"/>
      <c r="B39" s="253"/>
      <c r="C39" s="253"/>
      <c r="D39" s="253"/>
      <c r="E39" s="254"/>
      <c r="F39" s="454"/>
      <c r="G39" s="454"/>
    </row>
    <row r="40" spans="1:7" x14ac:dyDescent="0.25">
      <c r="A40" s="456"/>
      <c r="B40" s="253"/>
      <c r="C40" s="253"/>
      <c r="D40" s="253"/>
      <c r="E40" s="254"/>
      <c r="F40" s="454"/>
      <c r="G40" s="454"/>
    </row>
    <row r="41" spans="1:7" x14ac:dyDescent="0.25">
      <c r="A41" s="456"/>
      <c r="B41" s="253"/>
      <c r="C41" s="253"/>
      <c r="D41" s="253"/>
      <c r="E41" s="254"/>
      <c r="F41" s="454"/>
      <c r="G41" s="454"/>
    </row>
    <row r="42" spans="1:7" x14ac:dyDescent="0.25">
      <c r="A42" s="456"/>
      <c r="B42" s="253"/>
      <c r="C42" s="253"/>
      <c r="D42" s="253"/>
      <c r="E42" s="254"/>
      <c r="F42" s="454"/>
      <c r="G42" s="454"/>
    </row>
    <row r="43" spans="1:7" x14ac:dyDescent="0.25">
      <c r="A43" s="456"/>
      <c r="B43" s="253"/>
      <c r="C43" s="253"/>
      <c r="D43" s="253"/>
      <c r="E43" s="254"/>
      <c r="F43" s="454"/>
      <c r="G43" s="454"/>
    </row>
    <row r="44" spans="1:7" x14ac:dyDescent="0.25">
      <c r="A44" s="456"/>
      <c r="B44" s="253"/>
      <c r="C44" s="253"/>
      <c r="D44" s="253"/>
      <c r="E44" s="254"/>
      <c r="F44" s="454"/>
      <c r="G44" s="454"/>
    </row>
    <row r="45" spans="1:7" x14ac:dyDescent="0.25">
      <c r="A45" s="456"/>
      <c r="B45" s="253"/>
      <c r="C45" s="253"/>
      <c r="D45" s="253"/>
      <c r="E45" s="254"/>
      <c r="F45" s="454"/>
      <c r="G45" s="454"/>
    </row>
    <row r="46" spans="1:7" x14ac:dyDescent="0.25">
      <c r="A46" s="456"/>
      <c r="B46" s="253"/>
      <c r="C46" s="253"/>
      <c r="D46" s="253"/>
      <c r="E46" s="254"/>
      <c r="F46" s="454"/>
      <c r="G46" s="454"/>
    </row>
    <row r="47" spans="1:7" x14ac:dyDescent="0.25">
      <c r="A47" s="456"/>
      <c r="B47" s="253"/>
      <c r="C47" s="253"/>
      <c r="D47" s="253"/>
      <c r="E47" s="254"/>
      <c r="F47" s="454"/>
      <c r="G47" s="454"/>
    </row>
    <row r="48" spans="1:7" x14ac:dyDescent="0.25">
      <c r="A48" s="442"/>
      <c r="B48" s="255"/>
      <c r="C48" s="255"/>
      <c r="D48" s="255"/>
      <c r="E48" s="256"/>
      <c r="F48" s="454"/>
      <c r="G48" s="454"/>
    </row>
  </sheetData>
  <dataConsolidate/>
  <mergeCells count="49">
    <mergeCell ref="B5:C5"/>
    <mergeCell ref="D5:E5"/>
    <mergeCell ref="F5:G5"/>
    <mergeCell ref="A2:G2"/>
    <mergeCell ref="A3:A4"/>
    <mergeCell ref="B3:C3"/>
    <mergeCell ref="D3:E3"/>
    <mergeCell ref="F3:G3"/>
    <mergeCell ref="B6:C6"/>
    <mergeCell ref="D6:E6"/>
    <mergeCell ref="F6:G6"/>
    <mergeCell ref="B7:C7"/>
    <mergeCell ref="D7:E7"/>
    <mergeCell ref="F7:G7"/>
    <mergeCell ref="B15:C15"/>
    <mergeCell ref="D15:E15"/>
    <mergeCell ref="F15:G15"/>
    <mergeCell ref="B18:C18"/>
    <mergeCell ref="D18:E18"/>
    <mergeCell ref="F18:G18"/>
    <mergeCell ref="F35:G35"/>
    <mergeCell ref="A19:A21"/>
    <mergeCell ref="B22:C22"/>
    <mergeCell ref="D22:E22"/>
    <mergeCell ref="F22:G22"/>
    <mergeCell ref="B23:C23"/>
    <mergeCell ref="D23:E23"/>
    <mergeCell ref="F23:G23"/>
    <mergeCell ref="F30:G30"/>
    <mergeCell ref="F31:G31"/>
    <mergeCell ref="F32:G32"/>
    <mergeCell ref="F33:G33"/>
    <mergeCell ref="F34:G34"/>
    <mergeCell ref="F47:G47"/>
    <mergeCell ref="B36:C36"/>
    <mergeCell ref="D36:E36"/>
    <mergeCell ref="F36:G36"/>
    <mergeCell ref="A37:A48"/>
    <mergeCell ref="F37:G37"/>
    <mergeCell ref="F38:G38"/>
    <mergeCell ref="F39:G39"/>
    <mergeCell ref="F40:G40"/>
    <mergeCell ref="F41:G41"/>
    <mergeCell ref="F48:G48"/>
    <mergeCell ref="F42:G42"/>
    <mergeCell ref="F43:G43"/>
    <mergeCell ref="F44:G44"/>
    <mergeCell ref="F45:G45"/>
    <mergeCell ref="F46:G46"/>
  </mergeCells>
  <dataValidations count="1">
    <dataValidation type="list" allowBlank="1" showInputMessage="1" showErrorMessage="1" sqref="B18:G18">
      <formula1>Yes_No</formula1>
    </dataValidation>
  </dataValidations>
  <pageMargins left="0.25" right="0.25" top="0.75" bottom="0.75" header="0.3" footer="0.3"/>
  <pageSetup scale="80" orientation="portrait" r:id="rId1"/>
  <headerFooter>
    <oddHeader>&amp;LNYC SCA&amp;C&amp;A</oddHeader>
    <oddFooter xml:space="preserve">&amp;R
</oddFooter>
  </headerFooter>
  <colBreaks count="1" manualBreakCount="1">
    <brk id="7"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GSG_List!$S$4:$S$8</xm:f>
          </x14:formula1>
          <xm:sqref>E14 G14 C14</xm:sqref>
        </x14:dataValidation>
        <x14:dataValidation type="list" allowBlank="1" showInputMessage="1" showErrorMessage="1">
          <x14:formula1>
            <xm:f>GSG_List!$P$1:$P$2</xm:f>
          </x14:formula1>
          <xm:sqref>E12:E13 G8:G9 G12:G13 E8:E9 C12:C13 C8:C9</xm:sqref>
        </x14:dataValidation>
        <x14:dataValidation type="list" allowBlank="1" showInputMessage="1" showErrorMessage="1">
          <x14:formula1>
            <xm:f>GSG_List!$R$4:$R$5</xm:f>
          </x14:formula1>
          <xm:sqref>G10 E10 C10</xm:sqref>
        </x14:dataValidation>
        <x14:dataValidation type="list" allowBlank="1" showInputMessage="1" showErrorMessage="1" promptTitle="ECB System Selection" prompt="Only select a system with ECB compliance path is selected.">
          <x14:formula1>
            <xm:f>GSG_List!$A$43:$A$50</xm:f>
          </x14:formula1>
          <xm:sqref>D5:E5</xm:sqref>
        </x14:dataValidation>
        <x14:dataValidation type="list" allowBlank="1" showInputMessage="1" showErrorMessage="1" promptTitle="ECB System Selection" prompt="Only select a system with ECB compliance path is selected.">
          <x14:formula1>
            <xm:f>Lists!$A$48:$A$58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30"/>
  <sheetViews>
    <sheetView workbookViewId="0">
      <selection activeCell="J31" sqref="J31"/>
    </sheetView>
  </sheetViews>
  <sheetFormatPr defaultRowHeight="15" x14ac:dyDescent="0.25"/>
  <cols>
    <col min="1" max="1" width="12.7109375" customWidth="1"/>
    <col min="7" max="7" width="9.7109375" customWidth="1"/>
  </cols>
  <sheetData>
    <row r="1" spans="1:16" x14ac:dyDescent="0.25">
      <c r="A1" s="380" t="s">
        <v>619</v>
      </c>
      <c r="B1" s="374" t="s">
        <v>620</v>
      </c>
      <c r="C1" s="374"/>
      <c r="D1" s="374"/>
      <c r="E1" s="374" t="s">
        <v>625</v>
      </c>
      <c r="F1" s="374"/>
      <c r="G1" s="374"/>
      <c r="H1" s="375" t="s">
        <v>626</v>
      </c>
      <c r="I1" s="375"/>
      <c r="J1" s="375"/>
      <c r="K1" s="374" t="s">
        <v>627</v>
      </c>
      <c r="L1" s="374"/>
      <c r="M1" s="374"/>
      <c r="N1" s="374" t="s">
        <v>628</v>
      </c>
      <c r="O1" s="374"/>
      <c r="P1" s="374"/>
    </row>
    <row r="2" spans="1:16" x14ac:dyDescent="0.25">
      <c r="A2" s="380"/>
      <c r="B2" s="374" t="s">
        <v>621</v>
      </c>
      <c r="C2" s="374"/>
      <c r="D2" s="374"/>
      <c r="E2" s="374" t="s">
        <v>621</v>
      </c>
      <c r="F2" s="374"/>
      <c r="G2" s="374"/>
      <c r="H2" s="375"/>
      <c r="I2" s="375"/>
      <c r="J2" s="375"/>
      <c r="K2" s="374" t="s">
        <v>621</v>
      </c>
      <c r="L2" s="374"/>
      <c r="M2" s="374"/>
      <c r="N2" s="374" t="s">
        <v>621</v>
      </c>
      <c r="O2" s="374"/>
      <c r="P2" s="374"/>
    </row>
    <row r="3" spans="1:16" x14ac:dyDescent="0.25">
      <c r="A3" s="380"/>
      <c r="B3" t="s">
        <v>622</v>
      </c>
      <c r="C3" t="s">
        <v>623</v>
      </c>
      <c r="D3" t="s">
        <v>624</v>
      </c>
      <c r="E3" t="s">
        <v>622</v>
      </c>
      <c r="F3" t="s">
        <v>623</v>
      </c>
      <c r="G3" t="s">
        <v>624</v>
      </c>
      <c r="H3" t="s">
        <v>622</v>
      </c>
      <c r="I3" t="s">
        <v>623</v>
      </c>
      <c r="J3" t="s">
        <v>624</v>
      </c>
      <c r="K3" t="s">
        <v>622</v>
      </c>
      <c r="L3" t="s">
        <v>623</v>
      </c>
      <c r="M3" t="s">
        <v>624</v>
      </c>
      <c r="N3" t="s">
        <v>622</v>
      </c>
      <c r="O3" t="s">
        <v>623</v>
      </c>
      <c r="P3" t="s">
        <v>624</v>
      </c>
    </row>
    <row r="4" spans="1:16" x14ac:dyDescent="0.25">
      <c r="A4" t="s">
        <v>629</v>
      </c>
      <c r="B4">
        <v>0</v>
      </c>
      <c r="C4">
        <v>0</v>
      </c>
      <c r="D4">
        <v>0</v>
      </c>
      <c r="E4">
        <v>5</v>
      </c>
      <c r="F4">
        <v>5</v>
      </c>
      <c r="G4">
        <v>5</v>
      </c>
      <c r="H4" t="s">
        <v>657</v>
      </c>
      <c r="I4" t="s">
        <v>657</v>
      </c>
      <c r="J4" t="s">
        <v>657</v>
      </c>
      <c r="K4">
        <v>5</v>
      </c>
      <c r="L4">
        <v>5</v>
      </c>
      <c r="M4">
        <v>4</v>
      </c>
      <c r="N4">
        <v>0</v>
      </c>
      <c r="O4">
        <v>0</v>
      </c>
      <c r="P4">
        <v>0</v>
      </c>
    </row>
    <row r="5" spans="1:16" x14ac:dyDescent="0.25">
      <c r="A5" t="s">
        <v>630</v>
      </c>
      <c r="B5">
        <v>0</v>
      </c>
      <c r="C5">
        <v>0</v>
      </c>
      <c r="D5">
        <v>0</v>
      </c>
      <c r="E5">
        <v>5</v>
      </c>
      <c r="F5">
        <v>5</v>
      </c>
      <c r="G5">
        <v>5</v>
      </c>
      <c r="H5" t="s">
        <v>657</v>
      </c>
      <c r="I5" t="s">
        <v>657</v>
      </c>
      <c r="J5" t="s">
        <v>657</v>
      </c>
      <c r="K5">
        <v>5</v>
      </c>
      <c r="L5">
        <v>5</v>
      </c>
      <c r="M5">
        <v>4</v>
      </c>
      <c r="N5">
        <v>0</v>
      </c>
      <c r="O5">
        <v>0</v>
      </c>
      <c r="P5">
        <v>0</v>
      </c>
    </row>
    <row r="6" spans="1:16" x14ac:dyDescent="0.25">
      <c r="A6" t="s">
        <v>631</v>
      </c>
      <c r="B6">
        <v>0</v>
      </c>
      <c r="C6">
        <v>0</v>
      </c>
      <c r="D6">
        <v>0</v>
      </c>
      <c r="E6">
        <v>5</v>
      </c>
      <c r="F6">
        <v>5</v>
      </c>
      <c r="G6">
        <v>5</v>
      </c>
      <c r="H6" t="s">
        <v>657</v>
      </c>
      <c r="I6" t="s">
        <v>657</v>
      </c>
      <c r="J6" t="s">
        <v>657</v>
      </c>
      <c r="K6">
        <v>5</v>
      </c>
      <c r="L6">
        <v>5</v>
      </c>
      <c r="M6">
        <v>4</v>
      </c>
      <c r="N6">
        <v>0</v>
      </c>
      <c r="O6">
        <v>0</v>
      </c>
      <c r="P6">
        <v>0</v>
      </c>
    </row>
    <row r="7" spans="1:16" x14ac:dyDescent="0.25">
      <c r="A7" t="s">
        <v>632</v>
      </c>
      <c r="B7">
        <v>0</v>
      </c>
      <c r="C7">
        <v>0</v>
      </c>
      <c r="D7">
        <v>0</v>
      </c>
      <c r="E7">
        <v>5</v>
      </c>
      <c r="F7">
        <v>5</v>
      </c>
      <c r="G7">
        <v>5</v>
      </c>
      <c r="H7" t="s">
        <v>657</v>
      </c>
      <c r="I7" t="s">
        <v>657</v>
      </c>
      <c r="J7" t="s">
        <v>657</v>
      </c>
      <c r="K7">
        <v>5</v>
      </c>
      <c r="L7">
        <v>5</v>
      </c>
      <c r="M7">
        <v>4</v>
      </c>
      <c r="N7">
        <v>0</v>
      </c>
      <c r="O7">
        <v>0</v>
      </c>
      <c r="P7">
        <v>0</v>
      </c>
    </row>
    <row r="8" spans="1:16" x14ac:dyDescent="0.25">
      <c r="A8" t="s">
        <v>633</v>
      </c>
      <c r="B8">
        <v>0</v>
      </c>
      <c r="C8">
        <v>0</v>
      </c>
      <c r="D8">
        <v>0</v>
      </c>
      <c r="E8">
        <v>5</v>
      </c>
      <c r="F8">
        <v>5</v>
      </c>
      <c r="G8">
        <v>5</v>
      </c>
      <c r="H8" t="s">
        <v>657</v>
      </c>
      <c r="I8" t="s">
        <v>657</v>
      </c>
      <c r="J8" t="s">
        <v>657</v>
      </c>
      <c r="K8">
        <v>5</v>
      </c>
      <c r="L8">
        <v>5</v>
      </c>
      <c r="M8">
        <v>4</v>
      </c>
      <c r="N8">
        <v>0</v>
      </c>
      <c r="O8">
        <v>0</v>
      </c>
      <c r="P8">
        <v>0</v>
      </c>
    </row>
    <row r="9" spans="1:16" x14ac:dyDescent="0.25">
      <c r="A9" t="s">
        <v>634</v>
      </c>
      <c r="B9">
        <v>0</v>
      </c>
      <c r="C9">
        <v>0</v>
      </c>
      <c r="D9">
        <v>0</v>
      </c>
      <c r="E9">
        <v>10</v>
      </c>
      <c r="F9">
        <v>5</v>
      </c>
      <c r="G9">
        <v>5</v>
      </c>
      <c r="H9" t="s">
        <v>657</v>
      </c>
      <c r="I9" t="s">
        <v>657</v>
      </c>
      <c r="J9" t="s">
        <v>657</v>
      </c>
      <c r="K9">
        <v>8</v>
      </c>
      <c r="L9">
        <v>8</v>
      </c>
      <c r="M9">
        <v>7</v>
      </c>
      <c r="N9">
        <v>0</v>
      </c>
      <c r="O9">
        <v>0</v>
      </c>
      <c r="P9">
        <v>0</v>
      </c>
    </row>
    <row r="10" spans="1:16" x14ac:dyDescent="0.25">
      <c r="A10" t="s">
        <v>635</v>
      </c>
      <c r="B10">
        <v>10</v>
      </c>
      <c r="C10">
        <v>10</v>
      </c>
      <c r="D10">
        <v>5</v>
      </c>
      <c r="E10">
        <v>10</v>
      </c>
      <c r="F10">
        <v>10</v>
      </c>
      <c r="G10">
        <v>5</v>
      </c>
      <c r="H10" t="s">
        <v>658</v>
      </c>
      <c r="I10" t="s">
        <v>658</v>
      </c>
      <c r="J10" t="s">
        <v>657</v>
      </c>
      <c r="K10">
        <v>7</v>
      </c>
      <c r="L10">
        <v>7</v>
      </c>
      <c r="M10">
        <v>4</v>
      </c>
      <c r="N10">
        <v>0</v>
      </c>
      <c r="O10">
        <v>0</v>
      </c>
      <c r="P10">
        <v>0</v>
      </c>
    </row>
    <row r="11" spans="1:16" x14ac:dyDescent="0.25">
      <c r="A11" t="s">
        <v>636</v>
      </c>
      <c r="B11">
        <v>20</v>
      </c>
      <c r="C11">
        <v>10</v>
      </c>
      <c r="D11">
        <v>5</v>
      </c>
      <c r="E11">
        <v>30</v>
      </c>
      <c r="F11">
        <v>10</v>
      </c>
      <c r="G11">
        <v>5</v>
      </c>
      <c r="H11" t="s">
        <v>658</v>
      </c>
      <c r="I11" t="s">
        <v>658</v>
      </c>
      <c r="J11" t="s">
        <v>657</v>
      </c>
      <c r="K11">
        <v>19</v>
      </c>
      <c r="L11">
        <v>11</v>
      </c>
      <c r="M11">
        <v>4</v>
      </c>
      <c r="N11">
        <v>35</v>
      </c>
      <c r="O11">
        <v>16</v>
      </c>
      <c r="P11">
        <v>0</v>
      </c>
    </row>
    <row r="12" spans="1:16" x14ac:dyDescent="0.25">
      <c r="A12" t="s">
        <v>637</v>
      </c>
      <c r="B12">
        <v>95</v>
      </c>
      <c r="C12">
        <v>30</v>
      </c>
      <c r="D12">
        <v>5</v>
      </c>
      <c r="E12" t="s">
        <v>665</v>
      </c>
      <c r="F12">
        <v>30</v>
      </c>
      <c r="G12">
        <v>5</v>
      </c>
      <c r="H12" t="s">
        <v>658</v>
      </c>
      <c r="I12" t="s">
        <v>658</v>
      </c>
      <c r="J12" t="s">
        <v>657</v>
      </c>
      <c r="K12">
        <v>35</v>
      </c>
      <c r="L12">
        <v>15</v>
      </c>
      <c r="M12">
        <v>4</v>
      </c>
      <c r="N12">
        <v>69</v>
      </c>
      <c r="O12">
        <v>14</v>
      </c>
      <c r="P12">
        <v>0</v>
      </c>
    </row>
    <row r="13" spans="1:16" x14ac:dyDescent="0.25">
      <c r="A13" t="s">
        <v>638</v>
      </c>
      <c r="B13">
        <v>95</v>
      </c>
      <c r="C13">
        <v>30</v>
      </c>
      <c r="D13">
        <v>5</v>
      </c>
      <c r="E13" t="s">
        <v>665</v>
      </c>
      <c r="F13">
        <v>30</v>
      </c>
      <c r="G13">
        <v>5</v>
      </c>
      <c r="H13" t="s">
        <v>658</v>
      </c>
      <c r="I13" t="s">
        <v>658</v>
      </c>
      <c r="J13" t="s">
        <v>657</v>
      </c>
      <c r="K13">
        <v>38</v>
      </c>
      <c r="L13">
        <v>21</v>
      </c>
      <c r="M13">
        <v>4</v>
      </c>
      <c r="N13">
        <v>43</v>
      </c>
      <c r="O13">
        <v>21</v>
      </c>
      <c r="P13">
        <v>0</v>
      </c>
    </row>
    <row r="14" spans="1:16" x14ac:dyDescent="0.25">
      <c r="A14" t="s">
        <v>639</v>
      </c>
      <c r="B14">
        <v>95</v>
      </c>
      <c r="C14">
        <v>30</v>
      </c>
      <c r="D14">
        <v>5</v>
      </c>
      <c r="E14" t="s">
        <v>665</v>
      </c>
      <c r="F14">
        <v>30</v>
      </c>
      <c r="G14">
        <v>5</v>
      </c>
      <c r="H14" t="s">
        <v>658</v>
      </c>
      <c r="I14" t="s">
        <v>658</v>
      </c>
      <c r="J14" t="s">
        <v>657</v>
      </c>
      <c r="K14">
        <v>39</v>
      </c>
      <c r="L14">
        <v>19</v>
      </c>
      <c r="M14">
        <v>4</v>
      </c>
      <c r="N14">
        <v>37</v>
      </c>
      <c r="O14">
        <v>18</v>
      </c>
      <c r="P14">
        <v>0</v>
      </c>
    </row>
    <row r="15" spans="1:16" x14ac:dyDescent="0.25">
      <c r="A15" t="s">
        <v>640</v>
      </c>
      <c r="B15">
        <v>95</v>
      </c>
      <c r="C15">
        <v>30</v>
      </c>
      <c r="D15">
        <v>5</v>
      </c>
      <c r="E15" t="s">
        <v>665</v>
      </c>
      <c r="F15">
        <v>30</v>
      </c>
      <c r="G15">
        <v>5</v>
      </c>
      <c r="H15" t="s">
        <v>658</v>
      </c>
      <c r="I15" t="s">
        <v>658</v>
      </c>
      <c r="J15" t="s">
        <v>657</v>
      </c>
      <c r="K15">
        <v>47</v>
      </c>
      <c r="L15">
        <v>23</v>
      </c>
      <c r="M15">
        <v>6</v>
      </c>
      <c r="N15">
        <v>43</v>
      </c>
      <c r="O15">
        <v>25</v>
      </c>
      <c r="P15">
        <v>0</v>
      </c>
    </row>
    <row r="16" spans="1:16" x14ac:dyDescent="0.25">
      <c r="A16" t="s">
        <v>641</v>
      </c>
      <c r="B16">
        <v>50</v>
      </c>
      <c r="C16">
        <v>10</v>
      </c>
      <c r="D16">
        <v>5</v>
      </c>
      <c r="E16" t="s">
        <v>666</v>
      </c>
      <c r="F16">
        <v>15</v>
      </c>
      <c r="G16">
        <v>5</v>
      </c>
      <c r="H16" t="s">
        <v>658</v>
      </c>
      <c r="I16" t="s">
        <v>658</v>
      </c>
      <c r="J16" t="s">
        <v>657</v>
      </c>
      <c r="K16">
        <v>57</v>
      </c>
      <c r="L16">
        <v>20</v>
      </c>
      <c r="M16">
        <v>6</v>
      </c>
      <c r="N16">
        <v>58</v>
      </c>
      <c r="O16">
        <v>21</v>
      </c>
      <c r="P16">
        <v>0</v>
      </c>
    </row>
    <row r="17" spans="1:16" x14ac:dyDescent="0.25">
      <c r="A17" t="s">
        <v>642</v>
      </c>
      <c r="B17">
        <v>95</v>
      </c>
      <c r="C17">
        <v>10</v>
      </c>
      <c r="D17">
        <v>5</v>
      </c>
      <c r="E17" t="s">
        <v>665</v>
      </c>
      <c r="F17">
        <v>15</v>
      </c>
      <c r="G17">
        <v>5</v>
      </c>
      <c r="H17" t="s">
        <v>658</v>
      </c>
      <c r="I17" t="s">
        <v>658</v>
      </c>
      <c r="J17" t="s">
        <v>657</v>
      </c>
      <c r="K17">
        <v>54</v>
      </c>
      <c r="L17">
        <v>19</v>
      </c>
      <c r="M17">
        <v>9</v>
      </c>
      <c r="N17">
        <v>48</v>
      </c>
      <c r="O17">
        <v>13</v>
      </c>
      <c r="P17">
        <v>0</v>
      </c>
    </row>
    <row r="18" spans="1:16" x14ac:dyDescent="0.25">
      <c r="A18" t="s">
        <v>643</v>
      </c>
      <c r="B18">
        <v>95</v>
      </c>
      <c r="C18">
        <v>10</v>
      </c>
      <c r="D18">
        <v>5</v>
      </c>
      <c r="E18" t="s">
        <v>665</v>
      </c>
      <c r="F18">
        <v>15</v>
      </c>
      <c r="G18">
        <v>5</v>
      </c>
      <c r="H18" t="s">
        <v>658</v>
      </c>
      <c r="I18" t="s">
        <v>658</v>
      </c>
      <c r="J18" t="s">
        <v>657</v>
      </c>
      <c r="K18">
        <v>34</v>
      </c>
      <c r="L18">
        <v>15</v>
      </c>
      <c r="M18">
        <v>6</v>
      </c>
      <c r="N18">
        <v>37</v>
      </c>
      <c r="O18">
        <v>8</v>
      </c>
      <c r="P18">
        <v>0</v>
      </c>
    </row>
    <row r="19" spans="1:16" x14ac:dyDescent="0.25">
      <c r="A19" t="s">
        <v>644</v>
      </c>
      <c r="B19">
        <v>95</v>
      </c>
      <c r="C19">
        <v>10</v>
      </c>
      <c r="D19">
        <v>5</v>
      </c>
      <c r="E19" t="s">
        <v>665</v>
      </c>
      <c r="F19">
        <v>15</v>
      </c>
      <c r="G19">
        <v>5</v>
      </c>
      <c r="H19" t="s">
        <v>658</v>
      </c>
      <c r="I19" t="s">
        <v>658</v>
      </c>
      <c r="J19" t="s">
        <v>657</v>
      </c>
      <c r="K19">
        <v>33</v>
      </c>
      <c r="L19">
        <v>12</v>
      </c>
      <c r="M19">
        <v>4</v>
      </c>
      <c r="N19">
        <v>37</v>
      </c>
      <c r="O19">
        <v>4</v>
      </c>
      <c r="P19">
        <v>0</v>
      </c>
    </row>
    <row r="20" spans="1:16" x14ac:dyDescent="0.25">
      <c r="A20" t="s">
        <v>645</v>
      </c>
      <c r="B20">
        <v>95</v>
      </c>
      <c r="C20">
        <v>10</v>
      </c>
      <c r="D20">
        <v>5</v>
      </c>
      <c r="E20" t="s">
        <v>665</v>
      </c>
      <c r="F20">
        <v>15</v>
      </c>
      <c r="G20">
        <v>5</v>
      </c>
      <c r="H20" t="s">
        <v>658</v>
      </c>
      <c r="I20" t="s">
        <v>658</v>
      </c>
      <c r="J20" t="s">
        <v>657</v>
      </c>
      <c r="K20">
        <v>44</v>
      </c>
      <c r="L20">
        <v>14</v>
      </c>
      <c r="M20">
        <v>4</v>
      </c>
      <c r="N20">
        <v>46</v>
      </c>
      <c r="O20">
        <v>5</v>
      </c>
      <c r="P20">
        <v>0</v>
      </c>
    </row>
    <row r="21" spans="1:16" x14ac:dyDescent="0.25">
      <c r="A21" t="s">
        <v>646</v>
      </c>
      <c r="B21">
        <v>30</v>
      </c>
      <c r="C21">
        <v>5</v>
      </c>
      <c r="D21">
        <v>5</v>
      </c>
      <c r="E21" t="s">
        <v>667</v>
      </c>
      <c r="F21">
        <v>5</v>
      </c>
      <c r="G21">
        <v>5</v>
      </c>
      <c r="H21" t="s">
        <v>658</v>
      </c>
      <c r="I21" t="s">
        <v>658</v>
      </c>
      <c r="J21" t="s">
        <v>657</v>
      </c>
      <c r="K21">
        <v>26</v>
      </c>
      <c r="L21">
        <v>7</v>
      </c>
      <c r="M21">
        <v>4</v>
      </c>
      <c r="N21">
        <v>62</v>
      </c>
      <c r="O21">
        <v>6</v>
      </c>
      <c r="P21">
        <v>0</v>
      </c>
    </row>
    <row r="22" spans="1:16" x14ac:dyDescent="0.25">
      <c r="A22" t="s">
        <v>647</v>
      </c>
      <c r="B22">
        <v>10</v>
      </c>
      <c r="C22">
        <v>5</v>
      </c>
      <c r="D22">
        <v>0</v>
      </c>
      <c r="E22">
        <v>30</v>
      </c>
      <c r="F22">
        <v>5</v>
      </c>
      <c r="G22">
        <v>5</v>
      </c>
      <c r="H22" t="s">
        <v>658</v>
      </c>
      <c r="I22" t="s">
        <v>657</v>
      </c>
      <c r="J22" t="s">
        <v>657</v>
      </c>
      <c r="K22">
        <v>21</v>
      </c>
      <c r="L22">
        <v>7</v>
      </c>
      <c r="M22">
        <v>4</v>
      </c>
      <c r="N22">
        <v>20</v>
      </c>
      <c r="O22">
        <v>0</v>
      </c>
      <c r="P22">
        <v>0</v>
      </c>
    </row>
    <row r="23" spans="1:16" x14ac:dyDescent="0.25">
      <c r="A23" t="s">
        <v>648</v>
      </c>
      <c r="B23">
        <v>10</v>
      </c>
      <c r="C23">
        <v>0</v>
      </c>
      <c r="D23">
        <v>0</v>
      </c>
      <c r="E23">
        <v>30</v>
      </c>
      <c r="F23">
        <v>5</v>
      </c>
      <c r="G23">
        <v>5</v>
      </c>
      <c r="H23" t="s">
        <v>658</v>
      </c>
      <c r="I23" t="s">
        <v>657</v>
      </c>
      <c r="J23" t="s">
        <v>657</v>
      </c>
      <c r="K23">
        <v>15</v>
      </c>
      <c r="L23">
        <v>7</v>
      </c>
      <c r="M23">
        <v>4</v>
      </c>
      <c r="N23">
        <v>12</v>
      </c>
      <c r="O23">
        <v>0</v>
      </c>
      <c r="P23">
        <v>0</v>
      </c>
    </row>
    <row r="24" spans="1:16" x14ac:dyDescent="0.25">
      <c r="A24" t="s">
        <v>649</v>
      </c>
      <c r="B24">
        <v>10</v>
      </c>
      <c r="C24">
        <v>0</v>
      </c>
      <c r="D24">
        <v>0</v>
      </c>
      <c r="E24">
        <v>20</v>
      </c>
      <c r="F24">
        <v>5</v>
      </c>
      <c r="G24">
        <v>5</v>
      </c>
      <c r="H24" t="s">
        <v>658</v>
      </c>
      <c r="I24" t="s">
        <v>657</v>
      </c>
      <c r="J24" t="s">
        <v>657</v>
      </c>
      <c r="K24">
        <v>17</v>
      </c>
      <c r="L24">
        <v>7</v>
      </c>
      <c r="M24">
        <v>4</v>
      </c>
      <c r="N24">
        <v>4</v>
      </c>
      <c r="O24">
        <v>0</v>
      </c>
      <c r="P24">
        <v>0</v>
      </c>
    </row>
    <row r="25" spans="1:16" x14ac:dyDescent="0.25">
      <c r="A25" t="s">
        <v>650</v>
      </c>
      <c r="B25">
        <v>10</v>
      </c>
      <c r="C25">
        <v>0</v>
      </c>
      <c r="D25">
        <v>0</v>
      </c>
      <c r="E25">
        <v>20</v>
      </c>
      <c r="F25">
        <v>5</v>
      </c>
      <c r="G25">
        <v>5</v>
      </c>
      <c r="H25" t="s">
        <v>658</v>
      </c>
      <c r="I25" t="s">
        <v>657</v>
      </c>
      <c r="J25" t="s">
        <v>657</v>
      </c>
      <c r="K25">
        <v>8</v>
      </c>
      <c r="L25">
        <v>9</v>
      </c>
      <c r="M25">
        <v>7</v>
      </c>
      <c r="N25">
        <v>4</v>
      </c>
      <c r="O25">
        <v>0</v>
      </c>
      <c r="P25">
        <v>0</v>
      </c>
    </row>
    <row r="26" spans="1:16" x14ac:dyDescent="0.25">
      <c r="A26" t="s">
        <v>651</v>
      </c>
      <c r="B26">
        <v>5</v>
      </c>
      <c r="C26">
        <v>0</v>
      </c>
      <c r="D26">
        <v>0</v>
      </c>
      <c r="E26">
        <v>10</v>
      </c>
      <c r="F26">
        <v>5</v>
      </c>
      <c r="G26">
        <v>5</v>
      </c>
      <c r="H26" t="s">
        <v>657</v>
      </c>
      <c r="I26" t="s">
        <v>657</v>
      </c>
      <c r="J26" t="s">
        <v>657</v>
      </c>
      <c r="K26">
        <v>5</v>
      </c>
      <c r="L26">
        <v>5</v>
      </c>
      <c r="M26">
        <v>4</v>
      </c>
      <c r="N26">
        <v>0</v>
      </c>
      <c r="O26">
        <v>0</v>
      </c>
      <c r="P26">
        <v>0</v>
      </c>
    </row>
    <row r="27" spans="1:16" x14ac:dyDescent="0.25">
      <c r="A27" t="s">
        <v>652</v>
      </c>
      <c r="B27">
        <v>5</v>
      </c>
      <c r="C27">
        <v>0</v>
      </c>
      <c r="D27">
        <v>0</v>
      </c>
      <c r="E27">
        <v>5</v>
      </c>
      <c r="F27">
        <v>5</v>
      </c>
      <c r="G27">
        <v>5</v>
      </c>
      <c r="H27" t="s">
        <v>657</v>
      </c>
      <c r="I27" t="s">
        <v>657</v>
      </c>
      <c r="J27" t="s">
        <v>657</v>
      </c>
      <c r="K27">
        <v>5</v>
      </c>
      <c r="L27">
        <v>5</v>
      </c>
      <c r="M27">
        <v>4</v>
      </c>
      <c r="N27">
        <v>0</v>
      </c>
      <c r="O27">
        <v>0</v>
      </c>
      <c r="P27">
        <v>0</v>
      </c>
    </row>
    <row r="28" spans="1:16" x14ac:dyDescent="0.25">
      <c r="A28" t="s">
        <v>659</v>
      </c>
      <c r="B28">
        <f>SUM(B4:B27)</f>
        <v>920</v>
      </c>
      <c r="C28">
        <f t="shared" ref="C28:P28" si="0">SUM(C4:C27)</f>
        <v>200</v>
      </c>
      <c r="D28">
        <f t="shared" si="0"/>
        <v>60</v>
      </c>
      <c r="E28" t="s">
        <v>668</v>
      </c>
      <c r="F28">
        <v>280</v>
      </c>
      <c r="G28">
        <v>120</v>
      </c>
      <c r="H28">
        <v>1600</v>
      </c>
      <c r="I28">
        <v>1200</v>
      </c>
      <c r="J28">
        <v>0</v>
      </c>
      <c r="K28">
        <f t="shared" si="0"/>
        <v>537</v>
      </c>
      <c r="L28">
        <f t="shared" si="0"/>
        <v>256</v>
      </c>
      <c r="M28">
        <f t="shared" si="0"/>
        <v>113</v>
      </c>
      <c r="N28">
        <f t="shared" si="0"/>
        <v>555</v>
      </c>
      <c r="O28">
        <f t="shared" si="0"/>
        <v>151</v>
      </c>
      <c r="P28">
        <f t="shared" si="0"/>
        <v>0</v>
      </c>
    </row>
    <row r="29" spans="1:16" x14ac:dyDescent="0.25">
      <c r="A29" t="s">
        <v>660</v>
      </c>
      <c r="B29" s="381">
        <f>((B28/100)*5+C28/100+D28/100)</f>
        <v>48.6</v>
      </c>
      <c r="C29" s="381"/>
      <c r="D29" s="381"/>
      <c r="E29" s="382" t="s">
        <v>669</v>
      </c>
      <c r="F29" s="381"/>
      <c r="G29" s="381"/>
      <c r="H29" s="377">
        <f>((H28/100)*5+I28/100+J28/100)</f>
        <v>92</v>
      </c>
      <c r="I29" s="377"/>
      <c r="J29" s="377"/>
      <c r="K29" s="381">
        <f>((K28/100)*5+L28/100+M28/100)</f>
        <v>30.54</v>
      </c>
      <c r="L29" s="381"/>
      <c r="M29" s="381"/>
      <c r="N29" s="381">
        <f>((N28/100)*5+O28/100+P28/100)</f>
        <v>29.26</v>
      </c>
      <c r="O29" s="381"/>
      <c r="P29" s="381"/>
    </row>
    <row r="30" spans="1:16" x14ac:dyDescent="0.25">
      <c r="A30" t="s">
        <v>661</v>
      </c>
      <c r="B30" s="377">
        <f>B29*52.14</f>
        <v>2534.0039999999999</v>
      </c>
      <c r="C30" s="377"/>
      <c r="D30" s="377"/>
      <c r="E30" s="379" t="s">
        <v>670</v>
      </c>
      <c r="F30" s="377"/>
      <c r="G30" s="377"/>
      <c r="H30" s="377">
        <f>H29*52.14</f>
        <v>4796.88</v>
      </c>
      <c r="I30" s="377"/>
      <c r="J30" s="377"/>
      <c r="K30" s="377">
        <f>K29*52.14</f>
        <v>1592.3555999999999</v>
      </c>
      <c r="L30" s="377"/>
      <c r="M30" s="377"/>
      <c r="N30" s="377">
        <f>N29*52.14</f>
        <v>1525.6164000000001</v>
      </c>
      <c r="O30" s="377"/>
      <c r="P30" s="377"/>
    </row>
  </sheetData>
  <mergeCells count="20">
    <mergeCell ref="N1:P1"/>
    <mergeCell ref="B2:D2"/>
    <mergeCell ref="E2:G2"/>
    <mergeCell ref="K2:M2"/>
    <mergeCell ref="N2:P2"/>
    <mergeCell ref="A1:A3"/>
    <mergeCell ref="B1:D1"/>
    <mergeCell ref="E1:G1"/>
    <mergeCell ref="H1:J2"/>
    <mergeCell ref="K1:M1"/>
    <mergeCell ref="N29:P29"/>
    <mergeCell ref="N30:P30"/>
    <mergeCell ref="E29:G29"/>
    <mergeCell ref="E30:G30"/>
    <mergeCell ref="B29:D29"/>
    <mergeCell ref="B30:D30"/>
    <mergeCell ref="H29:J29"/>
    <mergeCell ref="H30:J30"/>
    <mergeCell ref="K29:M29"/>
    <mergeCell ref="K30:M30"/>
  </mergeCell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8"/>
  </sheetPr>
  <dimension ref="B2:H23"/>
  <sheetViews>
    <sheetView view="pageLayout" zoomScale="85" zoomScaleNormal="100" zoomScaleSheetLayoutView="100" zoomScalePageLayoutView="85" workbookViewId="0">
      <selection activeCell="C5" sqref="C5:D5"/>
    </sheetView>
  </sheetViews>
  <sheetFormatPr defaultRowHeight="15" x14ac:dyDescent="0.25"/>
  <cols>
    <col min="1" max="1" width="3.28515625" customWidth="1"/>
    <col min="2" max="2" width="27.5703125" customWidth="1"/>
    <col min="3" max="3" width="24.5703125" customWidth="1"/>
    <col min="4" max="4" width="7.42578125" customWidth="1"/>
    <col min="5" max="5" width="23.85546875" customWidth="1"/>
    <col min="6" max="6" width="7.42578125" customWidth="1"/>
    <col min="7" max="7" width="21.28515625" customWidth="1"/>
    <col min="8" max="8" width="6.85546875" customWidth="1"/>
  </cols>
  <sheetData>
    <row r="2" spans="2:8" ht="17.25" customHeight="1" x14ac:dyDescent="0.25">
      <c r="B2" s="473" t="s">
        <v>377</v>
      </c>
      <c r="C2" s="474"/>
      <c r="D2" s="474"/>
      <c r="E2" s="474"/>
      <c r="F2" s="474"/>
      <c r="G2" s="474"/>
      <c r="H2" s="474"/>
    </row>
    <row r="3" spans="2:8" ht="26.25" customHeight="1" x14ac:dyDescent="0.25">
      <c r="B3" s="62" t="s">
        <v>0</v>
      </c>
      <c r="C3" s="435" t="s">
        <v>921</v>
      </c>
      <c r="D3" s="435"/>
      <c r="E3" s="435" t="s">
        <v>767</v>
      </c>
      <c r="F3" s="435"/>
      <c r="G3" s="435" t="s">
        <v>375</v>
      </c>
      <c r="H3" s="435"/>
    </row>
    <row r="4" spans="2:8" ht="31.5" customHeight="1" x14ac:dyDescent="0.25">
      <c r="B4" s="61"/>
      <c r="C4" s="202" t="s">
        <v>1</v>
      </c>
      <c r="D4" s="200" t="s">
        <v>2</v>
      </c>
      <c r="E4" s="202" t="s">
        <v>1</v>
      </c>
      <c r="F4" s="200" t="s">
        <v>2</v>
      </c>
      <c r="G4" s="208" t="s">
        <v>1</v>
      </c>
      <c r="H4" s="200" t="s">
        <v>2</v>
      </c>
    </row>
    <row r="5" spans="2:8" ht="33.75" customHeight="1" x14ac:dyDescent="0.25">
      <c r="B5" s="59" t="s">
        <v>46</v>
      </c>
      <c r="C5" s="445" t="str">
        <f>IF(ISBLANK('6l. HVAC Water-side HW&amp;Steam'!C5),"",'6l. HVAC Water-side HW&amp;Steam'!C5)</f>
        <v>Gas Fired, Hot Water</v>
      </c>
      <c r="D5" s="445"/>
      <c r="E5" s="454"/>
      <c r="F5" s="454"/>
      <c r="G5" s="445" t="str">
        <f>IF(ISBLANK('6l. HVAC Water-side HW&amp;Steam'!E5),"",'6l. HVAC Water-side HW&amp;Steam'!E5)</f>
        <v xml:space="preserve">Modulating Condensing w/ 30% propylene glycol solution in primary loop </v>
      </c>
      <c r="H5" s="445"/>
    </row>
    <row r="6" spans="2:8" x14ac:dyDescent="0.25">
      <c r="B6" s="200" t="s">
        <v>47</v>
      </c>
      <c r="C6" s="227" t="str">
        <f>IF(ISBLANK('6l. HVAC Water-side HW&amp;Steam'!C6),"",'6l. HVAC Water-side HW&amp;Steam'!C6)</f>
        <v/>
      </c>
      <c r="D6" s="227" t="str">
        <f>IF(ISBLANK('6l. HVAC Water-side HW&amp;Steam'!D6),"",'6l. HVAC Water-side HW&amp;Steam'!D6)</f>
        <v>kBTU</v>
      </c>
      <c r="E6" s="205"/>
      <c r="F6" s="205"/>
      <c r="G6" s="227" t="str">
        <f>IF(ISBLANK('6l. HVAC Water-side HW&amp;Steam'!E6),"",'6l. HVAC Water-side HW&amp;Steam'!E6)</f>
        <v/>
      </c>
      <c r="H6" s="227" t="str">
        <f>IF(ISBLANK('6l. HVAC Water-side HW&amp;Steam'!F6),"",'6l. HVAC Water-side HW&amp;Steam'!F6)</f>
        <v>kBTU</v>
      </c>
    </row>
    <row r="7" spans="2:8" ht="22.5" x14ac:dyDescent="0.25">
      <c r="B7" s="200" t="s">
        <v>48</v>
      </c>
      <c r="C7" s="227" t="str">
        <f>IF(ISBLANK('6l. HVAC Water-side HW&amp;Steam'!C7),"",'6l. HVAC Water-side HW&amp;Steam'!C7)</f>
        <v/>
      </c>
      <c r="D7" s="227" t="str">
        <f>IF(ISBLANK('6l. HVAC Water-side HW&amp;Steam'!D7),"",'6l. HVAC Water-side HW&amp;Steam'!D7)</f>
        <v/>
      </c>
      <c r="E7" s="205"/>
      <c r="F7" s="205"/>
      <c r="G7" s="227" t="str">
        <f>IF(ISBLANK('6l. HVAC Water-side HW&amp;Steam'!E7),"",'6l. HVAC Water-side HW&amp;Steam'!E7)</f>
        <v>93% (@RWT=120°F)
86% (@RWT=140°F)</v>
      </c>
      <c r="H7" s="227" t="str">
        <f>IF(ISBLANK('6l. HVAC Water-side HW&amp;Steam'!F7),"",'6l. HVAC Water-side HW&amp;Steam'!F7)</f>
        <v>%</v>
      </c>
    </row>
    <row r="8" spans="2:8" ht="36" customHeight="1" x14ac:dyDescent="0.25">
      <c r="B8" s="200" t="s">
        <v>49</v>
      </c>
      <c r="C8" s="227" t="str">
        <f>IF(ISBLANK('6l. HVAC Water-side HW&amp;Steam'!C8),"",'6l. HVAC Water-side HW&amp;Steam'!C8)</f>
        <v>SWT=180°F @ OAT≤20°F
SWT=150 °F @ OAT≥50°F</v>
      </c>
      <c r="D8" s="202" t="s">
        <v>30</v>
      </c>
      <c r="E8" s="205"/>
      <c r="F8" s="202" t="s">
        <v>30</v>
      </c>
      <c r="G8" s="227" t="str">
        <f>IF(ISBLANK('6l. HVAC Water-side HW&amp;Steam'!E8),"",'6l. HVAC Water-side HW&amp;Steam'!E8)</f>
        <v>RWT=140°F @ OAT≤20°F
RWT=120 °F @ OAT≥50°F</v>
      </c>
      <c r="H8" s="202" t="s">
        <v>30</v>
      </c>
    </row>
    <row r="9" spans="2:8" ht="21.75" customHeight="1" x14ac:dyDescent="0.25">
      <c r="B9" s="200" t="s">
        <v>50</v>
      </c>
      <c r="C9" s="227">
        <f>IF(ISBLANK('6l. HVAC Water-side HW&amp;Steam'!C9),"",'6l. HVAC Water-side HW&amp;Steam'!C9)</f>
        <v>50</v>
      </c>
      <c r="D9" s="202" t="s">
        <v>30</v>
      </c>
      <c r="E9" s="205"/>
      <c r="F9" s="202" t="s">
        <v>30</v>
      </c>
      <c r="G9" s="227">
        <f>IF(ISBLANK('6l. HVAC Water-side HW&amp;Steam'!E9),"",'6l. HVAC Water-side HW&amp;Steam'!E9)</f>
        <v>40</v>
      </c>
      <c r="H9" s="202" t="s">
        <v>30</v>
      </c>
    </row>
    <row r="10" spans="2:8" ht="24" customHeight="1" x14ac:dyDescent="0.25">
      <c r="B10" s="200" t="s">
        <v>51</v>
      </c>
      <c r="C10" s="445" t="str">
        <f>IF(ISBLANK('6l. HVAC Water-side HW&amp;Steam'!C10),"",'6l. HVAC Water-side HW&amp;Steam'!C10)</f>
        <v>Outdoor air – supply water temp reset</v>
      </c>
      <c r="D10" s="445"/>
      <c r="E10" s="454"/>
      <c r="F10" s="454"/>
      <c r="G10" s="445" t="str">
        <f>IF(ISBLANK('6l. HVAC Water-side HW&amp;Steam'!E10),"",'6l. HVAC Water-side HW&amp;Steam'!E10)</f>
        <v>Outdoor air – return water temp reset</v>
      </c>
      <c r="H10" s="445"/>
    </row>
    <row r="11" spans="2:8" ht="24" customHeight="1" x14ac:dyDescent="0.25">
      <c r="B11" s="200" t="s">
        <v>52</v>
      </c>
      <c r="C11" s="445" t="str">
        <f>IF(ISBLANK('6l. HVAC Water-side HW&amp;Steam'!C11),"",'6l. HVAC Water-side HW&amp;Steam'!C11)</f>
        <v/>
      </c>
      <c r="D11" s="445"/>
      <c r="E11" s="454"/>
      <c r="F11" s="454"/>
      <c r="G11" s="445" t="str">
        <f>IF(ISBLANK('6l. HVAC Water-side HW&amp;Steam'!E11),"",'6l. HVAC Water-side HW&amp;Steam'!E11)</f>
        <v>Primary Only</v>
      </c>
      <c r="H11" s="445"/>
    </row>
    <row r="12" spans="2:8" ht="36" customHeight="1" x14ac:dyDescent="0.25">
      <c r="B12" s="200" t="s">
        <v>378</v>
      </c>
      <c r="C12" s="445" t="str">
        <f>IF(ISBLANK('6l. HVAC Water-side HW&amp;Steam'!C12),"",'6l. HVAC Water-side HW&amp;Steam'!C12)</f>
        <v/>
      </c>
      <c r="D12" s="445"/>
      <c r="E12" s="205"/>
      <c r="F12" s="202" t="s">
        <v>33</v>
      </c>
      <c r="G12" s="227" t="str">
        <f>IF(ISBLANK('6l. HVAC Water-side HW&amp;Steam'!E12),"",'6l. HVAC Water-side HW&amp;Steam'!E12)</f>
        <v/>
      </c>
      <c r="H12" s="202" t="s">
        <v>33</v>
      </c>
    </row>
    <row r="13" spans="2:8" ht="24" customHeight="1" x14ac:dyDescent="0.25">
      <c r="B13" s="200" t="s">
        <v>379</v>
      </c>
      <c r="C13" s="227" t="str">
        <f>IF(ISBLANK('6l. HVAC Water-side HW&amp;Steam'!C13),"",'6l. HVAC Water-side HW&amp;Steam'!C13)</f>
        <v/>
      </c>
      <c r="D13" s="227" t="str">
        <f>IF(ISBLANK('6l. HVAC Water-side HW&amp;Steam'!D13),"",'6l. HVAC Water-side HW&amp;Steam'!D13)</f>
        <v/>
      </c>
      <c r="E13" s="205"/>
      <c r="F13" s="205"/>
      <c r="G13" s="227">
        <f>IF(ISBLANK('6l. HVAC Water-side HW&amp;Steam'!E13),"",'6l. HVAC Water-side HW&amp;Steam'!E13)</f>
        <v>19</v>
      </c>
      <c r="H13" s="227" t="str">
        <f>IF(ISBLANK('6l. HVAC Water-side HW&amp;Steam'!F13),"",'6l. HVAC Water-side HW&amp;Steam'!F13)</f>
        <v>W/GPM</v>
      </c>
    </row>
    <row r="14" spans="2:8" ht="15" customHeight="1" x14ac:dyDescent="0.25">
      <c r="B14" s="200" t="s">
        <v>380</v>
      </c>
      <c r="C14" s="227" t="str">
        <f>IF(ISBLANK('6l. HVAC Water-side HW&amp;Steam'!C14),"",'6l. HVAC Water-side HW&amp;Steam'!C14)</f>
        <v/>
      </c>
      <c r="D14" s="202" t="s">
        <v>34</v>
      </c>
      <c r="E14" s="205"/>
      <c r="F14" s="202" t="s">
        <v>34</v>
      </c>
      <c r="G14" s="227" t="str">
        <f>IF(ISBLANK('6l. HVAC Water-side HW&amp;Steam'!E14),"",'6l. HVAC Water-side HW&amp;Steam'!E14)</f>
        <v/>
      </c>
      <c r="H14" s="202" t="s">
        <v>34</v>
      </c>
    </row>
    <row r="15" spans="2:8" ht="24" customHeight="1" x14ac:dyDescent="0.25">
      <c r="B15" s="200" t="s">
        <v>381</v>
      </c>
      <c r="C15" s="445" t="str">
        <f>IF(ISBLANK('6l. HVAC Water-side HW&amp;Steam'!C15),"",'6l. HVAC Water-side HW&amp;Steam'!C15)</f>
        <v/>
      </c>
      <c r="D15" s="445"/>
      <c r="E15" s="454"/>
      <c r="F15" s="454"/>
      <c r="G15" s="445" t="str">
        <f>IF(ISBLANK('6l. HVAC Water-side HW&amp;Steam'!E15),"",'6l. HVAC Water-side HW&amp;Steam'!E15)</f>
        <v/>
      </c>
      <c r="H15" s="445"/>
    </row>
    <row r="16" spans="2:8" ht="24" customHeight="1" x14ac:dyDescent="0.25">
      <c r="B16" s="200" t="s">
        <v>382</v>
      </c>
      <c r="C16" s="227" t="str">
        <f>IF(ISBLANK('6l. HVAC Water-side HW&amp;Steam'!C16),"",'6l. HVAC Water-side HW&amp;Steam'!C16)</f>
        <v/>
      </c>
      <c r="D16" s="202" t="s">
        <v>33</v>
      </c>
      <c r="E16" s="205"/>
      <c r="F16" s="202" t="s">
        <v>33</v>
      </c>
      <c r="G16" s="227" t="str">
        <f>IF(ISBLANK('6l. HVAC Water-side HW&amp;Steam'!E16),"",'6l. HVAC Water-side HW&amp;Steam'!E16)</f>
        <v/>
      </c>
      <c r="H16" s="202" t="s">
        <v>33</v>
      </c>
    </row>
    <row r="17" spans="2:8" ht="24" customHeight="1" x14ac:dyDescent="0.25">
      <c r="B17" s="200" t="s">
        <v>383</v>
      </c>
      <c r="C17" s="227" t="str">
        <f>IF(ISBLANK('6l. HVAC Water-side HW&amp;Steam'!C17),"",'6l. HVAC Water-side HW&amp;Steam'!C17)</f>
        <v/>
      </c>
      <c r="D17" s="227" t="str">
        <f>IF(ISBLANK('6l. HVAC Water-side HW&amp;Steam'!D17),"",'6l. HVAC Water-side HW&amp;Steam'!D17)</f>
        <v/>
      </c>
      <c r="E17" s="205"/>
      <c r="F17" s="205"/>
      <c r="G17" s="227" t="str">
        <f>IF(ISBLANK('6l. HVAC Water-side HW&amp;Steam'!E17),"",'6l. HVAC Water-side HW&amp;Steam'!E17)</f>
        <v/>
      </c>
      <c r="H17" s="227" t="str">
        <f>IF(ISBLANK('6l. HVAC Water-side HW&amp;Steam'!F17),"",'6l. HVAC Water-side HW&amp;Steam'!F17)</f>
        <v/>
      </c>
    </row>
    <row r="18" spans="2:8" ht="15" customHeight="1" x14ac:dyDescent="0.25">
      <c r="B18" s="200" t="s">
        <v>384</v>
      </c>
      <c r="C18" s="227" t="str">
        <f>IF(ISBLANK('6l. HVAC Water-side HW&amp;Steam'!C18),"",'6l. HVAC Water-side HW&amp;Steam'!C18)</f>
        <v/>
      </c>
      <c r="D18" s="202" t="s">
        <v>34</v>
      </c>
      <c r="E18" s="205"/>
      <c r="F18" s="202" t="s">
        <v>34</v>
      </c>
      <c r="G18" s="227" t="str">
        <f>IF(ISBLANK('6l. HVAC Water-side HW&amp;Steam'!E18),"",'6l. HVAC Water-side HW&amp;Steam'!E18)</f>
        <v/>
      </c>
      <c r="H18" s="202" t="s">
        <v>34</v>
      </c>
    </row>
    <row r="19" spans="2:8" ht="23.25" customHeight="1" x14ac:dyDescent="0.25">
      <c r="B19" s="200" t="s">
        <v>385</v>
      </c>
      <c r="C19" s="445" t="str">
        <f>IF(ISBLANK('6l. HVAC Water-side HW&amp;Steam'!C19),"",'6l. HVAC Water-side HW&amp;Steam'!C19)</f>
        <v/>
      </c>
      <c r="D19" s="445"/>
      <c r="E19" s="454"/>
      <c r="F19" s="454"/>
      <c r="G19" s="445" t="str">
        <f>IF(ISBLANK('6l. HVAC Water-side HW&amp;Steam'!E19),"",'6l. HVAC Water-side HW&amp;Steam'!E19)</f>
        <v/>
      </c>
      <c r="H19" s="445"/>
    </row>
    <row r="20" spans="2:8" x14ac:dyDescent="0.25">
      <c r="B20" s="56" t="s">
        <v>353</v>
      </c>
      <c r="C20" s="227" t="str">
        <f>IF(ISBLANK('6l. HVAC Water-side HW&amp;Steam'!C20),"",'6l. HVAC Water-side HW&amp;Steam'!C20)</f>
        <v/>
      </c>
      <c r="D20" s="227" t="str">
        <f>IF(ISBLANK('6l. HVAC Water-side HW&amp;Steam'!D20),"",'6l. HVAC Water-side HW&amp;Steam'!D20)</f>
        <v/>
      </c>
      <c r="E20" s="133"/>
      <c r="F20" s="156"/>
      <c r="G20" s="227" t="str">
        <f>IF(ISBLANK('6l. HVAC Water-side HW&amp;Steam'!E20),"",'6l. HVAC Water-side HW&amp;Steam'!E20)</f>
        <v/>
      </c>
      <c r="H20" s="227" t="str">
        <f>IF(ISBLANK('6l. HVAC Water-side HW&amp;Steam'!F20),"",'6l. HVAC Water-side HW&amp;Steam'!F20)</f>
        <v/>
      </c>
    </row>
    <row r="21" spans="2:8" x14ac:dyDescent="0.25">
      <c r="B21" s="56" t="s">
        <v>353</v>
      </c>
      <c r="C21" s="227" t="str">
        <f>IF(ISBLANK('6l. HVAC Water-side HW&amp;Steam'!C21),"",'6l. HVAC Water-side HW&amp;Steam'!C21)</f>
        <v/>
      </c>
      <c r="D21" s="227" t="str">
        <f>IF(ISBLANK('6l. HVAC Water-side HW&amp;Steam'!D21),"",'6l. HVAC Water-side HW&amp;Steam'!D21)</f>
        <v/>
      </c>
      <c r="E21" s="133"/>
      <c r="F21" s="156"/>
      <c r="G21" s="227" t="str">
        <f>IF(ISBLANK('6l. HVAC Water-side HW&amp;Steam'!E21),"",'6l. HVAC Water-side HW&amp;Steam'!E21)</f>
        <v/>
      </c>
      <c r="H21" s="227" t="str">
        <f>IF(ISBLANK('6l. HVAC Water-side HW&amp;Steam'!F21),"",'6l. HVAC Water-side HW&amp;Steam'!F21)</f>
        <v/>
      </c>
    </row>
    <row r="22" spans="2:8" x14ac:dyDescent="0.25">
      <c r="B22" s="56" t="s">
        <v>353</v>
      </c>
      <c r="C22" s="227" t="str">
        <f>IF(ISBLANK('6l. HVAC Water-side HW&amp;Steam'!C22),"",'6l. HVAC Water-side HW&amp;Steam'!C22)</f>
        <v/>
      </c>
      <c r="D22" s="227" t="str">
        <f>IF(ISBLANK('6l. HVAC Water-side HW&amp;Steam'!D22),"",'6l. HVAC Water-side HW&amp;Steam'!D22)</f>
        <v/>
      </c>
      <c r="E22" s="133"/>
      <c r="F22" s="156"/>
      <c r="G22" s="227" t="str">
        <f>IF(ISBLANK('6l. HVAC Water-side HW&amp;Steam'!E22),"",'6l. HVAC Water-side HW&amp;Steam'!E22)</f>
        <v/>
      </c>
      <c r="H22" s="227" t="str">
        <f>IF(ISBLANK('6l. HVAC Water-side HW&amp;Steam'!F22),"",'6l. HVAC Water-side HW&amp;Steam'!F22)</f>
        <v/>
      </c>
    </row>
    <row r="23" spans="2:8" x14ac:dyDescent="0.25">
      <c r="B23" s="56" t="s">
        <v>353</v>
      </c>
      <c r="C23" s="227" t="str">
        <f>IF(ISBLANK('6l. HVAC Water-side HW&amp;Steam'!C23),"",'6l. HVAC Water-side HW&amp;Steam'!C23)</f>
        <v/>
      </c>
      <c r="D23" s="227" t="str">
        <f>IF(ISBLANK('6l. HVAC Water-side HW&amp;Steam'!D23),"",'6l. HVAC Water-side HW&amp;Steam'!D23)</f>
        <v/>
      </c>
      <c r="E23" s="133"/>
      <c r="F23" s="156"/>
      <c r="G23" s="227" t="str">
        <f>IF(ISBLANK('6l. HVAC Water-side HW&amp;Steam'!E23),"",'6l. HVAC Water-side HW&amp;Steam'!E23)</f>
        <v/>
      </c>
      <c r="H23" s="227" t="str">
        <f>IF(ISBLANK('6l. HVAC Water-side HW&amp;Steam'!F23),"",'6l. HVAC Water-side HW&amp;Steam'!F23)</f>
        <v/>
      </c>
    </row>
  </sheetData>
  <mergeCells count="20">
    <mergeCell ref="C12:D12"/>
    <mergeCell ref="C15:D15"/>
    <mergeCell ref="E15:F15"/>
    <mergeCell ref="G15:H15"/>
    <mergeCell ref="C19:D19"/>
    <mergeCell ref="E19:F19"/>
    <mergeCell ref="G19:H19"/>
    <mergeCell ref="C10:D10"/>
    <mergeCell ref="E10:F10"/>
    <mergeCell ref="G10:H10"/>
    <mergeCell ref="C11:D11"/>
    <mergeCell ref="E11:F11"/>
    <mergeCell ref="G11:H11"/>
    <mergeCell ref="B2:H2"/>
    <mergeCell ref="C3:D3"/>
    <mergeCell ref="E3:F3"/>
    <mergeCell ref="G3:H3"/>
    <mergeCell ref="C5:D5"/>
    <mergeCell ref="E5:F5"/>
    <mergeCell ref="G5:H5"/>
  </mergeCells>
  <pageMargins left="0.25" right="0.25" top="0.75" bottom="0.75" header="0.3" footer="0.3"/>
  <pageSetup scale="80" orientation="portrait" r:id="rId1"/>
  <headerFooter>
    <oddHeader>&amp;LNYC SCA&amp;C&amp;A</oddHeader>
    <oddFooter xml:space="preserve">&amp;R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8"/>
  </sheetPr>
  <dimension ref="B2:F36"/>
  <sheetViews>
    <sheetView view="pageLayout" zoomScale="85" zoomScaleNormal="100" zoomScaleSheetLayoutView="115" zoomScalePageLayoutView="85" workbookViewId="0">
      <selection activeCell="E7" sqref="E7"/>
    </sheetView>
  </sheetViews>
  <sheetFormatPr defaultRowHeight="15" x14ac:dyDescent="0.25"/>
  <cols>
    <col min="1" max="1" width="3.28515625" customWidth="1"/>
    <col min="2" max="2" width="21.7109375" customWidth="1"/>
    <col min="3" max="3" width="31.5703125" customWidth="1"/>
    <col min="4" max="4" width="7.42578125" customWidth="1"/>
    <col min="5" max="5" width="27" customWidth="1"/>
    <col min="6" max="6" width="6.85546875" customWidth="1"/>
  </cols>
  <sheetData>
    <row r="2" spans="2:6" ht="17.25" customHeight="1" x14ac:dyDescent="0.25">
      <c r="B2" s="473" t="s">
        <v>91</v>
      </c>
      <c r="C2" s="474"/>
      <c r="D2" s="474"/>
      <c r="E2" s="474"/>
      <c r="F2" s="476"/>
    </row>
    <row r="3" spans="2:6" ht="26.25" customHeight="1" x14ac:dyDescent="0.25">
      <c r="B3" s="62" t="s">
        <v>0</v>
      </c>
      <c r="C3" s="435" t="s">
        <v>767</v>
      </c>
      <c r="D3" s="435"/>
      <c r="E3" s="435" t="s">
        <v>375</v>
      </c>
      <c r="F3" s="435"/>
    </row>
    <row r="4" spans="2:6" ht="31.5" customHeight="1" x14ac:dyDescent="0.25">
      <c r="B4" s="61"/>
      <c r="C4" s="210" t="s">
        <v>1</v>
      </c>
      <c r="D4" s="214" t="s">
        <v>2</v>
      </c>
      <c r="E4" s="217" t="s">
        <v>1</v>
      </c>
      <c r="F4" s="214" t="s">
        <v>2</v>
      </c>
    </row>
    <row r="5" spans="2:6" ht="33.75" customHeight="1" x14ac:dyDescent="0.25">
      <c r="B5" s="210" t="s">
        <v>373</v>
      </c>
      <c r="C5" s="454" t="s">
        <v>823</v>
      </c>
      <c r="D5" s="454"/>
      <c r="E5" s="445" t="str">
        <f>'6j. HVAC Water-side CHW  '!E5</f>
        <v>Air cooled w/ 30% propylene 
glycol solution in primary loop</v>
      </c>
      <c r="F5" s="445"/>
    </row>
    <row r="6" spans="2:6" ht="24" customHeight="1" x14ac:dyDescent="0.25">
      <c r="B6" s="214" t="s">
        <v>25</v>
      </c>
      <c r="C6" s="271"/>
      <c r="D6" s="271"/>
      <c r="E6" s="273">
        <f>'6j. HVAC Water-side CHW  '!E6</f>
        <v>0</v>
      </c>
      <c r="F6" s="227">
        <f>'6j. HVAC Water-side CHW  '!F6</f>
        <v>0</v>
      </c>
    </row>
    <row r="7" spans="2:6" ht="22.5" customHeight="1" x14ac:dyDescent="0.25">
      <c r="B7" s="214" t="s">
        <v>27</v>
      </c>
      <c r="C7" s="271"/>
      <c r="D7" s="271"/>
      <c r="E7" s="273">
        <f>'6j. HVAC Water-side CHW  '!E7</f>
        <v>1.2969999999999999</v>
      </c>
      <c r="F7" s="227" t="str">
        <f>'6j. HVAC Water-side CHW  '!F7</f>
        <v>kW/ton</v>
      </c>
    </row>
    <row r="8" spans="2:6" ht="36" customHeight="1" x14ac:dyDescent="0.25">
      <c r="B8" s="214" t="s">
        <v>28</v>
      </c>
      <c r="C8" s="271"/>
      <c r="D8" s="271"/>
      <c r="E8" s="273">
        <f>'6j. HVAC Water-side CHW  '!E8</f>
        <v>0.88400000000000001</v>
      </c>
      <c r="F8" s="227" t="str">
        <f>'6j. HVAC Water-side CHW  '!F8</f>
        <v>kW/ton</v>
      </c>
    </row>
    <row r="9" spans="2:6" ht="36" customHeight="1" x14ac:dyDescent="0.25">
      <c r="B9" s="214" t="s">
        <v>29</v>
      </c>
      <c r="C9" s="271"/>
      <c r="D9" s="270" t="s">
        <v>30</v>
      </c>
      <c r="E9" s="273">
        <f>'6j. HVAC Water-side CHW  '!E9</f>
        <v>44</v>
      </c>
      <c r="F9" s="210" t="s">
        <v>30</v>
      </c>
    </row>
    <row r="10" spans="2:6" ht="21.75" customHeight="1" x14ac:dyDescent="0.25">
      <c r="B10" s="214" t="s">
        <v>364</v>
      </c>
      <c r="C10" s="271"/>
      <c r="D10" s="270" t="s">
        <v>30</v>
      </c>
      <c r="E10" s="273">
        <f>'6j. HVAC Water-side CHW  '!E10</f>
        <v>12</v>
      </c>
      <c r="F10" s="210" t="s">
        <v>30</v>
      </c>
    </row>
    <row r="11" spans="2:6" ht="24" customHeight="1" x14ac:dyDescent="0.25">
      <c r="B11" s="214" t="s">
        <v>31</v>
      </c>
      <c r="C11" s="454"/>
      <c r="D11" s="454"/>
      <c r="E11" s="475" t="str">
        <f>'6j. HVAC Water-side CHW  '!E11</f>
        <v>Demand Reset</v>
      </c>
      <c r="F11" s="445"/>
    </row>
    <row r="12" spans="2:6" ht="24" customHeight="1" x14ac:dyDescent="0.25">
      <c r="B12" s="214" t="s">
        <v>32</v>
      </c>
      <c r="C12" s="454"/>
      <c r="D12" s="454"/>
      <c r="E12" s="475">
        <f>'6j. HVAC Water-side CHW  '!E12</f>
        <v>0</v>
      </c>
      <c r="F12" s="445"/>
    </row>
    <row r="13" spans="2:6" ht="36" customHeight="1" x14ac:dyDescent="0.25">
      <c r="B13" s="214" t="s">
        <v>365</v>
      </c>
      <c r="C13" s="271"/>
      <c r="D13" s="270" t="s">
        <v>33</v>
      </c>
      <c r="E13" s="273">
        <f>'6j. HVAC Water-side CHW  '!E13</f>
        <v>0</v>
      </c>
      <c r="F13" s="210" t="s">
        <v>33</v>
      </c>
    </row>
    <row r="14" spans="2:6" ht="24" customHeight="1" x14ac:dyDescent="0.25">
      <c r="B14" s="214" t="s">
        <v>366</v>
      </c>
      <c r="C14" s="271"/>
      <c r="D14" s="271"/>
      <c r="E14" s="273">
        <f>'6j. HVAC Water-side CHW  '!E14</f>
        <v>0</v>
      </c>
      <c r="F14" s="227">
        <f>'6j. HVAC Water-side CHW  '!F14</f>
        <v>0</v>
      </c>
    </row>
    <row r="15" spans="2:6" ht="24" customHeight="1" x14ac:dyDescent="0.25">
      <c r="B15" s="214" t="s">
        <v>367</v>
      </c>
      <c r="C15" s="271"/>
      <c r="D15" s="270" t="s">
        <v>34</v>
      </c>
      <c r="E15" s="273">
        <f>'6j. HVAC Water-side CHW  '!E15</f>
        <v>0</v>
      </c>
      <c r="F15" s="210" t="s">
        <v>34</v>
      </c>
    </row>
    <row r="16" spans="2:6" ht="22.5" customHeight="1" x14ac:dyDescent="0.25">
      <c r="B16" s="214" t="s">
        <v>368</v>
      </c>
      <c r="C16" s="454"/>
      <c r="D16" s="454"/>
      <c r="E16" s="475">
        <f>'6j. HVAC Water-side CHW  '!E16</f>
        <v>0</v>
      </c>
      <c r="F16" s="445"/>
    </row>
    <row r="17" spans="2:6" ht="21.75" customHeight="1" x14ac:dyDescent="0.25">
      <c r="B17" s="214" t="s">
        <v>369</v>
      </c>
      <c r="C17" s="271"/>
      <c r="D17" s="270" t="s">
        <v>33</v>
      </c>
      <c r="E17" s="273">
        <f>'6j. HVAC Water-side CHW  '!E17</f>
        <v>0</v>
      </c>
      <c r="F17" s="210" t="s">
        <v>33</v>
      </c>
    </row>
    <row r="18" spans="2:6" ht="24" customHeight="1" x14ac:dyDescent="0.25">
      <c r="B18" s="214" t="s">
        <v>370</v>
      </c>
      <c r="C18" s="271"/>
      <c r="D18" s="271"/>
      <c r="E18" s="273">
        <f>'6j. HVAC Water-side CHW  '!E18</f>
        <v>0</v>
      </c>
      <c r="F18" s="227">
        <f>'6j. HVAC Water-side CHW  '!F18</f>
        <v>0</v>
      </c>
    </row>
    <row r="19" spans="2:6" ht="15" customHeight="1" x14ac:dyDescent="0.25">
      <c r="B19" s="214" t="s">
        <v>371</v>
      </c>
      <c r="C19" s="271"/>
      <c r="D19" s="270" t="s">
        <v>34</v>
      </c>
      <c r="E19" s="273">
        <f>'6j. HVAC Water-side CHW  '!E19</f>
        <v>0</v>
      </c>
      <c r="F19" s="210" t="s">
        <v>34</v>
      </c>
    </row>
    <row r="20" spans="2:6" ht="15" customHeight="1" x14ac:dyDescent="0.25">
      <c r="B20" s="214" t="s">
        <v>372</v>
      </c>
      <c r="C20" s="454"/>
      <c r="D20" s="454"/>
      <c r="E20" s="475">
        <f>'6j. HVAC Water-side CHW  '!E20</f>
        <v>0</v>
      </c>
      <c r="F20" s="445"/>
    </row>
    <row r="21" spans="2:6" x14ac:dyDescent="0.25">
      <c r="B21" s="214" t="s">
        <v>35</v>
      </c>
      <c r="C21" s="271"/>
      <c r="D21" s="271"/>
      <c r="E21" s="257"/>
      <c r="F21" s="257"/>
    </row>
    <row r="22" spans="2:6" ht="24" customHeight="1" x14ac:dyDescent="0.25">
      <c r="B22" s="214" t="s">
        <v>36</v>
      </c>
      <c r="C22" s="271"/>
      <c r="D22" s="271"/>
      <c r="E22" s="257"/>
      <c r="F22" s="257"/>
    </row>
    <row r="23" spans="2:6" ht="22.5" x14ac:dyDescent="0.25">
      <c r="B23" s="59" t="s">
        <v>376</v>
      </c>
      <c r="C23" s="454"/>
      <c r="D23" s="454"/>
      <c r="E23" s="258"/>
      <c r="F23" s="258"/>
    </row>
    <row r="24" spans="2:6" x14ac:dyDescent="0.25">
      <c r="B24" s="214" t="s">
        <v>37</v>
      </c>
      <c r="C24" s="271"/>
      <c r="D24" s="271"/>
      <c r="E24" s="258"/>
      <c r="F24" s="258"/>
    </row>
    <row r="25" spans="2:6" x14ac:dyDescent="0.25">
      <c r="B25" s="214" t="s">
        <v>38</v>
      </c>
      <c r="C25" s="271"/>
      <c r="D25" s="271"/>
      <c r="E25" s="258"/>
      <c r="F25" s="258"/>
    </row>
    <row r="26" spans="2:6" ht="22.5" x14ac:dyDescent="0.25">
      <c r="B26" s="214" t="s">
        <v>39</v>
      </c>
      <c r="C26" s="271"/>
      <c r="D26" s="270" t="s">
        <v>30</v>
      </c>
      <c r="E26" s="258"/>
      <c r="F26" s="258"/>
    </row>
    <row r="27" spans="2:6" x14ac:dyDescent="0.25">
      <c r="B27" s="214" t="s">
        <v>40</v>
      </c>
      <c r="C27" s="271"/>
      <c r="D27" s="270" t="s">
        <v>30</v>
      </c>
      <c r="E27" s="259"/>
      <c r="F27" s="259"/>
    </row>
    <row r="28" spans="2:6" ht="22.5" x14ac:dyDescent="0.25">
      <c r="B28" s="214" t="s">
        <v>41</v>
      </c>
      <c r="C28" s="454"/>
      <c r="D28" s="454"/>
      <c r="E28" s="259"/>
      <c r="F28" s="259"/>
    </row>
    <row r="29" spans="2:6" x14ac:dyDescent="0.25">
      <c r="B29" s="214" t="s">
        <v>42</v>
      </c>
      <c r="C29" s="271"/>
      <c r="D29" s="270" t="s">
        <v>33</v>
      </c>
      <c r="E29" s="260"/>
      <c r="F29" s="260"/>
    </row>
    <row r="30" spans="2:6" x14ac:dyDescent="0.25">
      <c r="B30" s="214" t="s">
        <v>43</v>
      </c>
      <c r="C30" s="271"/>
      <c r="D30" s="271"/>
      <c r="E30" s="260"/>
      <c r="F30" s="260"/>
    </row>
    <row r="31" spans="2:6" x14ac:dyDescent="0.25">
      <c r="B31" s="214" t="s">
        <v>44</v>
      </c>
      <c r="C31" s="271"/>
      <c r="D31" s="270" t="s">
        <v>34</v>
      </c>
      <c r="E31" s="260"/>
      <c r="F31" s="260"/>
    </row>
    <row r="32" spans="2:6" x14ac:dyDescent="0.25">
      <c r="B32" s="214" t="s">
        <v>45</v>
      </c>
      <c r="C32" s="454"/>
      <c r="D32" s="454"/>
      <c r="E32" s="260"/>
      <c r="F32" s="260"/>
    </row>
    <row r="33" spans="2:6" x14ac:dyDescent="0.25">
      <c r="B33" s="56" t="s">
        <v>353</v>
      </c>
      <c r="C33" s="133"/>
      <c r="D33" s="156"/>
      <c r="E33" s="260"/>
      <c r="F33" s="260"/>
    </row>
    <row r="34" spans="2:6" x14ac:dyDescent="0.25">
      <c r="B34" s="56" t="s">
        <v>353</v>
      </c>
      <c r="C34" s="133"/>
      <c r="D34" s="156"/>
      <c r="E34" s="260"/>
      <c r="F34" s="260"/>
    </row>
    <row r="35" spans="2:6" x14ac:dyDescent="0.25">
      <c r="B35" s="56" t="s">
        <v>353</v>
      </c>
      <c r="C35" s="133"/>
      <c r="D35" s="156"/>
      <c r="E35" s="260"/>
      <c r="F35" s="260"/>
    </row>
    <row r="36" spans="2:6" x14ac:dyDescent="0.25">
      <c r="B36" s="56" t="s">
        <v>353</v>
      </c>
      <c r="C36" s="133"/>
      <c r="D36" s="156"/>
      <c r="E36" s="260"/>
      <c r="F36" s="260"/>
    </row>
  </sheetData>
  <mergeCells count="16">
    <mergeCell ref="C11:D11"/>
    <mergeCell ref="E11:F11"/>
    <mergeCell ref="B2:F2"/>
    <mergeCell ref="C3:D3"/>
    <mergeCell ref="E3:F3"/>
    <mergeCell ref="C5:D5"/>
    <mergeCell ref="E5:F5"/>
    <mergeCell ref="C23:D23"/>
    <mergeCell ref="C28:D28"/>
    <mergeCell ref="C32:D32"/>
    <mergeCell ref="C12:D12"/>
    <mergeCell ref="E12:F12"/>
    <mergeCell ref="C16:D16"/>
    <mergeCell ref="E16:F16"/>
    <mergeCell ref="C20:D20"/>
    <mergeCell ref="E20:F20"/>
  </mergeCells>
  <conditionalFormatting sqref="C7:D36">
    <cfRule type="expression" dxfId="120" priority="2" stopIfTrue="1">
      <formula>$C$5="0- Building area &lt; 150,0000"</formula>
    </cfRule>
  </conditionalFormatting>
  <conditionalFormatting sqref="C6:D36">
    <cfRule type="expression" dxfId="119" priority="1">
      <formula>LEFT($C$5,1)="0"</formula>
    </cfRule>
  </conditionalFormatting>
  <pageMargins left="0.25" right="0.25" top="0.75" bottom="0.75" header="0.3" footer="0.3"/>
  <pageSetup scale="80" orientation="portrait" r:id="rId1"/>
  <headerFooter>
    <oddHeader>&amp;LNYC SCA&amp;C&amp;A</oddHeader>
    <oddFooter xml:space="preserve">&amp;R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GSG_List!$A$114:$A$116</xm:f>
          </x14:formula1>
          <xm:sqref>C5:D5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8"/>
  </sheetPr>
  <dimension ref="A1:G43"/>
  <sheetViews>
    <sheetView zoomScaleNormal="100" workbookViewId="0">
      <selection activeCell="C12" sqref="C12:D12"/>
    </sheetView>
  </sheetViews>
  <sheetFormatPr defaultRowHeight="15" x14ac:dyDescent="0.25"/>
  <cols>
    <col min="1" max="1" width="2.42578125" style="284" customWidth="1"/>
    <col min="2" max="2" width="9.140625" style="288" hidden="1" customWidth="1"/>
    <col min="3" max="3" width="54" style="288" customWidth="1"/>
    <col min="4" max="4" width="30.140625" style="289" customWidth="1"/>
    <col min="5" max="5" width="6.85546875" style="298" hidden="1" customWidth="1"/>
    <col min="6" max="6" width="2.7109375" style="284" customWidth="1"/>
  </cols>
  <sheetData>
    <row r="1" spans="2:7" ht="21" x14ac:dyDescent="0.35">
      <c r="C1" s="287" t="s">
        <v>880</v>
      </c>
    </row>
    <row r="2" spans="2:7" ht="15.75" thickBot="1" x14ac:dyDescent="0.3"/>
    <row r="3" spans="2:7" ht="15.75" thickBot="1" x14ac:dyDescent="0.3">
      <c r="B3" s="304" t="s">
        <v>881</v>
      </c>
      <c r="C3" s="304" t="s">
        <v>882</v>
      </c>
      <c r="D3" s="294" t="s">
        <v>943</v>
      </c>
    </row>
    <row r="4" spans="2:7" x14ac:dyDescent="0.25">
      <c r="C4" s="305" t="s">
        <v>942</v>
      </c>
      <c r="D4" s="295" t="s">
        <v>916</v>
      </c>
    </row>
    <row r="5" spans="2:7" ht="36.75" x14ac:dyDescent="0.25">
      <c r="C5" s="305" t="s">
        <v>946</v>
      </c>
      <c r="D5" s="290" t="s">
        <v>916</v>
      </c>
    </row>
    <row r="6" spans="2:7" ht="24.75" x14ac:dyDescent="0.25">
      <c r="C6" s="311" t="s">
        <v>947</v>
      </c>
      <c r="D6" s="291" t="s">
        <v>916</v>
      </c>
    </row>
    <row r="7" spans="2:7" ht="15.75" thickBot="1" x14ac:dyDescent="0.3">
      <c r="C7" s="301" t="s">
        <v>948</v>
      </c>
      <c r="D7" s="292" t="s">
        <v>203</v>
      </c>
    </row>
    <row r="8" spans="2:7" ht="15.75" thickBot="1" x14ac:dyDescent="0.3">
      <c r="B8" s="307"/>
      <c r="C8" s="297"/>
      <c r="D8" s="297"/>
      <c r="E8" s="308"/>
      <c r="F8" s="309"/>
      <c r="G8" s="310"/>
    </row>
    <row r="9" spans="2:7" x14ac:dyDescent="0.25">
      <c r="B9" s="290" t="s">
        <v>916</v>
      </c>
      <c r="C9" s="477" t="s">
        <v>885</v>
      </c>
      <c r="D9" s="478"/>
    </row>
    <row r="10" spans="2:7" ht="68.25" customHeight="1" thickBot="1" x14ac:dyDescent="0.3">
      <c r="B10" s="290" t="s">
        <v>916</v>
      </c>
      <c r="C10" s="479"/>
      <c r="D10" s="480"/>
    </row>
    <row r="11" spans="2:7" ht="24.75" customHeight="1" x14ac:dyDescent="0.25">
      <c r="B11" s="290" t="s">
        <v>916</v>
      </c>
      <c r="C11" s="477" t="s">
        <v>886</v>
      </c>
      <c r="D11" s="478"/>
    </row>
    <row r="12" spans="2:7" ht="81.75" customHeight="1" thickBot="1" x14ac:dyDescent="0.3">
      <c r="B12" s="292" t="s">
        <v>916</v>
      </c>
      <c r="C12" s="481"/>
      <c r="D12" s="482"/>
    </row>
    <row r="13" spans="2:7" ht="4.5" customHeight="1" thickBot="1" x14ac:dyDescent="0.3">
      <c r="C13" s="289"/>
    </row>
    <row r="14" spans="2:7" ht="15.75" thickBot="1" x14ac:dyDescent="0.3">
      <c r="B14" s="285" t="s">
        <v>881</v>
      </c>
      <c r="C14" s="299" t="s">
        <v>940</v>
      </c>
      <c r="D14" s="294" t="s">
        <v>941</v>
      </c>
    </row>
    <row r="15" spans="2:7" ht="48.75" customHeight="1" x14ac:dyDescent="0.25">
      <c r="B15" s="290" t="e">
        <f>IF(E15&lt;4500, "Yes", "No")</f>
        <v>#VALUE!</v>
      </c>
      <c r="C15" s="300" t="s">
        <v>955</v>
      </c>
      <c r="D15" s="291"/>
      <c r="E15" s="298" t="e">
        <f>'SCA Usage Summary'!G14*1000/('Ext LPD Calculator'!B4)</f>
        <v>#VALUE!</v>
      </c>
    </row>
    <row r="16" spans="2:7" ht="24.75" x14ac:dyDescent="0.25">
      <c r="B16" s="290" t="str">
        <f>IF('1,2,3 Information'!C29&lt;300, "Yes", "No")</f>
        <v>Yes</v>
      </c>
      <c r="C16" s="300" t="s">
        <v>936</v>
      </c>
      <c r="D16" s="291"/>
    </row>
    <row r="17" spans="2:6" ht="36.75" x14ac:dyDescent="0.25">
      <c r="B17" s="290" t="str">
        <f>IF(E17&lt;50, "Yes", "No")</f>
        <v>Yes</v>
      </c>
      <c r="C17" s="300" t="s">
        <v>953</v>
      </c>
      <c r="D17" s="291"/>
      <c r="E17" s="298">
        <f>ABS('1,2,3 Information'!C29-'1,2,3 Information'!C30)</f>
        <v>0</v>
      </c>
    </row>
    <row r="18" spans="2:6" x14ac:dyDescent="0.25">
      <c r="B18" s="290" t="e">
        <f>IF(AND(E18&lt;2500,E18&gt;1600),"Yes","No")</f>
        <v>#VALUE!</v>
      </c>
      <c r="C18" s="300" t="e">
        <f>"The calculated lighting EFLH is "&amp;ROUND(E18,0)&amp;" hrs.  Between 1,600 and 2,500 is expected using the template schedules. Please correct or provide explanation."</f>
        <v>#VALUE!</v>
      </c>
      <c r="D18" s="291"/>
      <c r="E18" s="298" t="e">
        <f>'SCA Usage Summary'!G6*1000/('SCA Interior Lighting Summary'!K29*'SCA Interior Lighting Summary'!B29)</f>
        <v>#VALUE!</v>
      </c>
    </row>
    <row r="19" spans="2:6" x14ac:dyDescent="0.25">
      <c r="B19" s="290" t="e">
        <f>IF(AND(E19&gt;0.2, E19&lt;35), "Yes", "No")</f>
        <v>#VALUE!</v>
      </c>
      <c r="C19" s="300" t="e">
        <f>"The Misc Equipment is "&amp;TEXT(E19,"00.0%")&amp;" of the total electricity.  It is expected to be between 20-35%.  Please correct or provide an explanation."</f>
        <v>#VALUE!</v>
      </c>
      <c r="D19" s="291"/>
      <c r="E19" s="302" t="e">
        <f>('SCA Usage Summary'!G7)/('SCA Usage Summary'!G16)</f>
        <v>#VALUE!</v>
      </c>
    </row>
    <row r="20" spans="2:6" ht="24.75" x14ac:dyDescent="0.25">
      <c r="B20" s="290" t="str">
        <f>IF(('5. Usage Summary'!C7+'5. Usage Summary'!D7)=('5. Usage Summary'!F7+'5. Usage Summary'!G7), "Yes", "No")</f>
        <v>Yes</v>
      </c>
      <c r="C20" s="300" t="s">
        <v>952</v>
      </c>
      <c r="D20" s="291"/>
    </row>
    <row r="21" spans="2:6" ht="49.5" customHeight="1" x14ac:dyDescent="0.25">
      <c r="B21" s="290" t="e">
        <f>IF(F21=1, "Yes","No")</f>
        <v>#VALUE!</v>
      </c>
      <c r="C21" s="300" t="e">
        <f>"The Domestic Hot Water is "&amp;TEXT(E21,"0.0%")&amp;" of the total heating fuel.  It is expected to be less than 10% for projects without kitchens and 10-20% for projects with kitchens.  Please correct or provide an explanation."</f>
        <v>#VALUE!</v>
      </c>
      <c r="D21" s="291"/>
      <c r="E21" s="298" t="e">
        <f>('SCA Usage Summary'!G13+29.3*'SCA Usage Summary'!H13)/('SCA Usage Summary'!G8+'SCA Usage Summary'!G13+29.3*'SCA Usage Summary'!H16)</f>
        <v>#VALUE!</v>
      </c>
      <c r="F21" s="286" t="e">
        <f>IF(OR(AND(E21&lt;0.2,D4="Yes"),AND(E21&lt;0.1,D4="No")),1,0)</f>
        <v>#VALUE!</v>
      </c>
    </row>
    <row r="22" spans="2:6" x14ac:dyDescent="0.25">
      <c r="B22" s="290" t="e">
        <f>IF(E22&lt;0.3, "Yes", "No")</f>
        <v>#VALUE!</v>
      </c>
      <c r="C22" s="300" t="e">
        <f>"The proposed Space Cooling is "&amp;TEXT(E22,"00.0%")&amp;" of the total electricity.  It is typically less than 30%.  Please correct or provide an explanation"</f>
        <v>#VALUE!</v>
      </c>
      <c r="D22" s="291"/>
      <c r="E22" s="298" t="e">
        <f>'SCA Usage Summary'!G9/'SCA Usage Summary'!G16</f>
        <v>#VALUE!</v>
      </c>
    </row>
    <row r="23" spans="2:6" x14ac:dyDescent="0.25">
      <c r="B23" s="290" t="e">
        <f>IF(E23&gt;0.3, "No", "Yes")</f>
        <v>#VALUE!</v>
      </c>
      <c r="C23" s="300" t="e">
        <f>"The proposed Vent Fans is "&amp;TEXT(E23,"00.0%")&amp;" of the total electricity.  It is typically less than 30%.  Please correct or provide an explanation."</f>
        <v>#VALUE!</v>
      </c>
      <c r="D23" s="291"/>
      <c r="E23" s="298" t="e">
        <f>'SCA Usage Summary'!G12/'SCA Usage Summary'!G16</f>
        <v>#VALUE!</v>
      </c>
    </row>
    <row r="24" spans="2:6" ht="37.5" thickBot="1" x14ac:dyDescent="0.3">
      <c r="B24" s="290" t="str">
        <f>IF('GSG Avg Rotations'!K11&gt;0,"No","Yes")</f>
        <v>Yes</v>
      </c>
      <c r="C24" s="303" t="s">
        <v>939</v>
      </c>
      <c r="D24" s="293"/>
    </row>
    <row r="25" spans="2:6" x14ac:dyDescent="0.25">
      <c r="C25" s="289"/>
    </row>
    <row r="26" spans="2:6" x14ac:dyDescent="0.25">
      <c r="C26" s="289"/>
    </row>
    <row r="27" spans="2:6" x14ac:dyDescent="0.25">
      <c r="C27" s="289"/>
    </row>
    <row r="28" spans="2:6" x14ac:dyDescent="0.25">
      <c r="C28" s="289"/>
    </row>
    <row r="29" spans="2:6" x14ac:dyDescent="0.25">
      <c r="C29" s="289"/>
    </row>
    <row r="30" spans="2:6" x14ac:dyDescent="0.25">
      <c r="C30" s="289"/>
    </row>
    <row r="31" spans="2:6" x14ac:dyDescent="0.25">
      <c r="C31" s="289"/>
    </row>
    <row r="32" spans="2:6" x14ac:dyDescent="0.25">
      <c r="C32" s="289"/>
    </row>
    <row r="33" spans="3:3" x14ac:dyDescent="0.25">
      <c r="C33" s="289"/>
    </row>
    <row r="34" spans="3:3" x14ac:dyDescent="0.25">
      <c r="C34" s="289"/>
    </row>
    <row r="35" spans="3:3" x14ac:dyDescent="0.25">
      <c r="C35" s="289"/>
    </row>
    <row r="36" spans="3:3" x14ac:dyDescent="0.25">
      <c r="C36" s="289"/>
    </row>
    <row r="37" spans="3:3" x14ac:dyDescent="0.25">
      <c r="C37" s="289"/>
    </row>
    <row r="38" spans="3:3" x14ac:dyDescent="0.25">
      <c r="C38" s="289"/>
    </row>
    <row r="39" spans="3:3" x14ac:dyDescent="0.25">
      <c r="C39" s="289"/>
    </row>
    <row r="40" spans="3:3" x14ac:dyDescent="0.25">
      <c r="C40" s="289"/>
    </row>
    <row r="41" spans="3:3" x14ac:dyDescent="0.25">
      <c r="C41" s="289"/>
    </row>
    <row r="42" spans="3:3" x14ac:dyDescent="0.25">
      <c r="C42" s="289"/>
    </row>
    <row r="43" spans="3:3" x14ac:dyDescent="0.25">
      <c r="C43" s="289"/>
    </row>
  </sheetData>
  <mergeCells count="4">
    <mergeCell ref="C9:D9"/>
    <mergeCell ref="C10:D10"/>
    <mergeCell ref="C11:D11"/>
    <mergeCell ref="C12:D12"/>
  </mergeCells>
  <conditionalFormatting sqref="B15:B20 B8:B13 D5 D7 B22:B23">
    <cfRule type="containsText" dxfId="118" priority="18" operator="containsText" text="Yes">
      <formula>NOT(ISERROR(SEARCH("Yes",B5)))</formula>
    </cfRule>
  </conditionalFormatting>
  <conditionalFormatting sqref="B15:B20 B8:B13 D5 D7 B22:B23">
    <cfRule type="containsText" dxfId="117" priority="16" operator="containsText" text="N/A">
      <formula>NOT(ISERROR(SEARCH("N/A",B5)))</formula>
    </cfRule>
    <cfRule type="containsText" dxfId="116" priority="17" operator="containsText" text="No">
      <formula>NOT(ISERROR(SEARCH("No",B5)))</formula>
    </cfRule>
  </conditionalFormatting>
  <conditionalFormatting sqref="D8 C15:D20 C22:D23">
    <cfRule type="expression" dxfId="115" priority="14">
      <formula>OR($B8="Yes",$B8="N/A")</formula>
    </cfRule>
  </conditionalFormatting>
  <conditionalFormatting sqref="B21">
    <cfRule type="containsText" dxfId="114" priority="8" operator="containsText" text="Yes">
      <formula>NOT(ISERROR(SEARCH("Yes",B21)))</formula>
    </cfRule>
  </conditionalFormatting>
  <conditionalFormatting sqref="B21">
    <cfRule type="containsText" dxfId="113" priority="6" operator="containsText" text="N/A">
      <formula>NOT(ISERROR(SEARCH("N/A",B21)))</formula>
    </cfRule>
    <cfRule type="containsText" dxfId="112" priority="7" operator="containsText" text="No">
      <formula>NOT(ISERROR(SEARCH("No",B21)))</formula>
    </cfRule>
  </conditionalFormatting>
  <conditionalFormatting sqref="C21:D21">
    <cfRule type="expression" dxfId="111" priority="5">
      <formula>OR($B21="Yes",$B21="N/A")</formula>
    </cfRule>
  </conditionalFormatting>
  <conditionalFormatting sqref="B24">
    <cfRule type="containsText" dxfId="110" priority="4" operator="containsText" text="Yes">
      <formula>NOT(ISERROR(SEARCH("Yes",B24)))</formula>
    </cfRule>
  </conditionalFormatting>
  <conditionalFormatting sqref="B24">
    <cfRule type="containsText" dxfId="109" priority="2" operator="containsText" text="N/A">
      <formula>NOT(ISERROR(SEARCH("N/A",B24)))</formula>
    </cfRule>
    <cfRule type="containsText" dxfId="108" priority="3" operator="containsText" text="No">
      <formula>NOT(ISERROR(SEARCH("No",B24)))</formula>
    </cfRule>
  </conditionalFormatting>
  <conditionalFormatting sqref="C24:D24">
    <cfRule type="expression" dxfId="107" priority="1">
      <formula>OR($B24="Yes",$B24="N/A")</formula>
    </cfRule>
  </conditionalFormatting>
  <dataValidations count="1">
    <dataValidation type="list" allowBlank="1" showInputMessage="1" showErrorMessage="1" sqref="D4:D7 B8:B12 B18:B24">
      <formula1>"Yes, No, N/A"</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8"/>
  </sheetPr>
  <dimension ref="A1:I76"/>
  <sheetViews>
    <sheetView view="pageBreakPreview" zoomScale="85" zoomScaleNormal="85" zoomScaleSheetLayoutView="85" workbookViewId="0">
      <selection activeCell="D17" sqref="D17"/>
    </sheetView>
  </sheetViews>
  <sheetFormatPr defaultRowHeight="15" x14ac:dyDescent="0.25"/>
  <cols>
    <col min="1" max="1" width="2.42578125" style="284" customWidth="1"/>
    <col min="2" max="2" width="48" style="288" customWidth="1"/>
    <col min="3" max="3" width="9.140625" style="288"/>
    <col min="4" max="4" width="29.85546875" style="289" customWidth="1"/>
    <col min="5" max="5" width="6.5703125" style="298" customWidth="1"/>
    <col min="6" max="6" width="2.7109375" style="284" customWidth="1"/>
  </cols>
  <sheetData>
    <row r="1" spans="2:4" ht="21" x14ac:dyDescent="0.35">
      <c r="B1" s="287" t="s">
        <v>949</v>
      </c>
    </row>
    <row r="3" spans="2:4" ht="4.5" customHeight="1" thickBot="1" x14ac:dyDescent="0.3">
      <c r="B3" s="289"/>
    </row>
    <row r="4" spans="2:4" ht="27" customHeight="1" thickBot="1" x14ac:dyDescent="0.3">
      <c r="B4" s="299" t="s">
        <v>883</v>
      </c>
      <c r="C4" s="316" t="s">
        <v>881</v>
      </c>
      <c r="D4" s="313" t="s">
        <v>914</v>
      </c>
    </row>
    <row r="5" spans="2:4" ht="20.25" customHeight="1" x14ac:dyDescent="0.25">
      <c r="B5" s="305" t="s">
        <v>918</v>
      </c>
      <c r="C5" s="317" t="s">
        <v>203</v>
      </c>
      <c r="D5" s="314"/>
    </row>
    <row r="6" spans="2:4" ht="36.75" x14ac:dyDescent="0.25">
      <c r="B6" s="300" t="s">
        <v>917</v>
      </c>
      <c r="C6" s="317" t="s">
        <v>203</v>
      </c>
      <c r="D6" s="306"/>
    </row>
    <row r="7" spans="2:4" ht="36.75" x14ac:dyDescent="0.25">
      <c r="B7" s="300" t="s">
        <v>935</v>
      </c>
      <c r="C7" s="317" t="s">
        <v>203</v>
      </c>
      <c r="D7" s="306"/>
    </row>
    <row r="8" spans="2:4" ht="44.25" customHeight="1" x14ac:dyDescent="0.25">
      <c r="B8" s="300" t="s">
        <v>884</v>
      </c>
      <c r="C8" s="317" t="s">
        <v>203</v>
      </c>
      <c r="D8" s="306"/>
    </row>
    <row r="9" spans="2:4" ht="27" customHeight="1" x14ac:dyDescent="0.25">
      <c r="B9" s="300" t="s">
        <v>950</v>
      </c>
      <c r="C9" s="317" t="s">
        <v>203</v>
      </c>
      <c r="D9" s="306"/>
    </row>
    <row r="10" spans="2:4" ht="24.75" x14ac:dyDescent="0.25">
      <c r="B10" s="300" t="s">
        <v>919</v>
      </c>
      <c r="C10" s="317" t="s">
        <v>203</v>
      </c>
      <c r="D10" s="306"/>
    </row>
    <row r="11" spans="2:4" ht="54" customHeight="1" thickBot="1" x14ac:dyDescent="0.3">
      <c r="B11" s="320" t="s">
        <v>975</v>
      </c>
      <c r="C11" s="318" t="s">
        <v>203</v>
      </c>
      <c r="D11" s="321"/>
    </row>
    <row r="12" spans="2:4" x14ac:dyDescent="0.25">
      <c r="B12" s="297"/>
      <c r="C12" s="296"/>
      <c r="D12" s="297"/>
    </row>
    <row r="13" spans="2:4" ht="4.5" customHeight="1" thickBot="1" x14ac:dyDescent="0.3">
      <c r="B13" s="289"/>
    </row>
    <row r="14" spans="2:4" ht="30.75" customHeight="1" thickBot="1" x14ac:dyDescent="0.3">
      <c r="B14" s="299" t="s">
        <v>887</v>
      </c>
      <c r="C14" s="316" t="s">
        <v>881</v>
      </c>
      <c r="D14" s="313" t="s">
        <v>914</v>
      </c>
    </row>
    <row r="15" spans="2:4" ht="15.75" thickBot="1" x14ac:dyDescent="0.3">
      <c r="B15" s="319" t="s">
        <v>920</v>
      </c>
      <c r="C15" s="318" t="s">
        <v>203</v>
      </c>
      <c r="D15" s="312"/>
    </row>
    <row r="16" spans="2:4" ht="9.75" customHeight="1" thickBot="1" x14ac:dyDescent="0.3">
      <c r="B16" s="289"/>
    </row>
    <row r="17" spans="2:4" ht="30.75" customHeight="1" thickBot="1" x14ac:dyDescent="0.3">
      <c r="B17" s="299" t="s">
        <v>888</v>
      </c>
      <c r="C17" s="316" t="s">
        <v>881</v>
      </c>
      <c r="D17" s="313" t="s">
        <v>914</v>
      </c>
    </row>
    <row r="18" spans="2:4" ht="48.75" x14ac:dyDescent="0.25">
      <c r="B18" s="305" t="s">
        <v>945</v>
      </c>
      <c r="C18" s="317" t="s">
        <v>203</v>
      </c>
      <c r="D18" s="314"/>
    </row>
    <row r="19" spans="2:4" ht="25.5" thickBot="1" x14ac:dyDescent="0.3">
      <c r="B19" s="301" t="s">
        <v>889</v>
      </c>
      <c r="C19" s="318" t="s">
        <v>203</v>
      </c>
      <c r="D19" s="315"/>
    </row>
    <row r="20" spans="2:4" ht="7.5" customHeight="1" thickBot="1" x14ac:dyDescent="0.3">
      <c r="B20" s="289"/>
    </row>
    <row r="21" spans="2:4" ht="27.75" customHeight="1" thickBot="1" x14ac:dyDescent="0.3">
      <c r="B21" s="299" t="s">
        <v>890</v>
      </c>
      <c r="C21" s="316" t="s">
        <v>881</v>
      </c>
      <c r="D21" s="313" t="s">
        <v>914</v>
      </c>
    </row>
    <row r="22" spans="2:4" ht="36.75" x14ac:dyDescent="0.25">
      <c r="B22" s="305" t="s">
        <v>891</v>
      </c>
      <c r="C22" s="317" t="s">
        <v>203</v>
      </c>
      <c r="D22" s="314"/>
    </row>
    <row r="23" spans="2:4" ht="24.75" x14ac:dyDescent="0.25">
      <c r="B23" s="300" t="s">
        <v>892</v>
      </c>
      <c r="C23" s="317" t="s">
        <v>203</v>
      </c>
      <c r="D23" s="306"/>
    </row>
    <row r="24" spans="2:4" ht="150.75" customHeight="1" x14ac:dyDescent="0.25">
      <c r="B24" s="300" t="s">
        <v>893</v>
      </c>
      <c r="C24" s="317" t="s">
        <v>203</v>
      </c>
      <c r="D24" s="306"/>
    </row>
    <row r="25" spans="2:4" ht="85.5" thickBot="1" x14ac:dyDescent="0.3">
      <c r="B25" s="301" t="s">
        <v>894</v>
      </c>
      <c r="C25" s="318" t="s">
        <v>203</v>
      </c>
      <c r="D25" s="315"/>
    </row>
    <row r="26" spans="2:4" ht="4.5" customHeight="1" thickBot="1" x14ac:dyDescent="0.3">
      <c r="B26" s="289"/>
    </row>
    <row r="27" spans="2:4" ht="31.5" customHeight="1" thickBot="1" x14ac:dyDescent="0.3">
      <c r="B27" s="299" t="s">
        <v>895</v>
      </c>
      <c r="C27" s="316" t="s">
        <v>881</v>
      </c>
      <c r="D27" s="313" t="s">
        <v>914</v>
      </c>
    </row>
    <row r="28" spans="2:4" ht="24.75" x14ac:dyDescent="0.25">
      <c r="B28" s="305" t="s">
        <v>896</v>
      </c>
      <c r="C28" s="317" t="s">
        <v>203</v>
      </c>
      <c r="D28" s="314"/>
    </row>
    <row r="29" spans="2:4" ht="24.75" x14ac:dyDescent="0.25">
      <c r="B29" s="300" t="s">
        <v>937</v>
      </c>
      <c r="C29" s="317" t="s">
        <v>203</v>
      </c>
      <c r="D29" s="306"/>
    </row>
    <row r="30" spans="2:4" ht="37.5" thickBot="1" x14ac:dyDescent="0.3">
      <c r="B30" s="301" t="s">
        <v>897</v>
      </c>
      <c r="C30" s="318" t="s">
        <v>203</v>
      </c>
      <c r="D30" s="315"/>
    </row>
    <row r="31" spans="2:4" ht="6" customHeight="1" thickBot="1" x14ac:dyDescent="0.3">
      <c r="B31" s="301"/>
      <c r="C31" s="318"/>
      <c r="D31" s="315"/>
    </row>
    <row r="32" spans="2:4" ht="28.5" customHeight="1" thickBot="1" x14ac:dyDescent="0.3">
      <c r="B32" s="299" t="s">
        <v>898</v>
      </c>
      <c r="C32" s="316" t="s">
        <v>881</v>
      </c>
      <c r="D32" s="313" t="s">
        <v>914</v>
      </c>
    </row>
    <row r="33" spans="2:4" ht="132.75" x14ac:dyDescent="0.25">
      <c r="B33" s="305" t="s">
        <v>934</v>
      </c>
      <c r="C33" s="317" t="s">
        <v>203</v>
      </c>
      <c r="D33" s="314"/>
    </row>
    <row r="34" spans="2:4" ht="36.75" x14ac:dyDescent="0.25">
      <c r="B34" s="305" t="s">
        <v>899</v>
      </c>
      <c r="C34" s="317" t="s">
        <v>203</v>
      </c>
      <c r="D34" s="314"/>
    </row>
    <row r="35" spans="2:4" ht="25.5" thickBot="1" x14ac:dyDescent="0.3">
      <c r="B35" s="301" t="s">
        <v>900</v>
      </c>
      <c r="C35" s="318" t="s">
        <v>203</v>
      </c>
      <c r="D35" s="315"/>
    </row>
    <row r="36" spans="2:4" ht="5.25" customHeight="1" thickBot="1" x14ac:dyDescent="0.3">
      <c r="B36" s="289"/>
    </row>
    <row r="37" spans="2:4" ht="26.25" customHeight="1" thickBot="1" x14ac:dyDescent="0.3">
      <c r="B37" s="299" t="s">
        <v>901</v>
      </c>
      <c r="C37" s="316" t="s">
        <v>881</v>
      </c>
      <c r="D37" s="313" t="s">
        <v>914</v>
      </c>
    </row>
    <row r="38" spans="2:4" ht="30" customHeight="1" x14ac:dyDescent="0.25">
      <c r="B38" s="305" t="s">
        <v>915</v>
      </c>
      <c r="C38" s="317" t="s">
        <v>203</v>
      </c>
      <c r="D38" s="314"/>
    </row>
    <row r="39" spans="2:4" ht="24.75" x14ac:dyDescent="0.25">
      <c r="B39" s="300" t="s">
        <v>931</v>
      </c>
      <c r="C39" s="317" t="s">
        <v>203</v>
      </c>
      <c r="D39" s="306"/>
    </row>
    <row r="40" spans="2:4" ht="36.75" x14ac:dyDescent="0.25">
      <c r="B40" s="300" t="s">
        <v>902</v>
      </c>
      <c r="C40" s="317" t="s">
        <v>203</v>
      </c>
      <c r="D40" s="306"/>
    </row>
    <row r="41" spans="2:4" ht="24.75" x14ac:dyDescent="0.25">
      <c r="B41" s="300" t="s">
        <v>903</v>
      </c>
      <c r="C41" s="317" t="s">
        <v>203</v>
      </c>
      <c r="D41" s="306"/>
    </row>
    <row r="42" spans="2:4" ht="24.75" x14ac:dyDescent="0.25">
      <c r="B42" s="300" t="s">
        <v>904</v>
      </c>
      <c r="C42" s="317" t="s">
        <v>203</v>
      </c>
      <c r="D42" s="306"/>
    </row>
    <row r="43" spans="2:4" ht="48.75" x14ac:dyDescent="0.25">
      <c r="B43" s="300" t="s">
        <v>905</v>
      </c>
      <c r="C43" s="317" t="s">
        <v>203</v>
      </c>
      <c r="D43" s="306"/>
    </row>
    <row r="44" spans="2:4" ht="37.5" thickBot="1" x14ac:dyDescent="0.3">
      <c r="B44" s="301" t="s">
        <v>906</v>
      </c>
      <c r="C44" s="318" t="s">
        <v>203</v>
      </c>
      <c r="D44" s="315"/>
    </row>
    <row r="45" spans="2:4" ht="8.25" customHeight="1" thickBot="1" x14ac:dyDescent="0.3">
      <c r="B45" s="289"/>
    </row>
    <row r="46" spans="2:4" ht="33.75" customHeight="1" thickBot="1" x14ac:dyDescent="0.3">
      <c r="B46" s="299" t="s">
        <v>907</v>
      </c>
      <c r="C46" s="316" t="s">
        <v>881</v>
      </c>
      <c r="D46" s="313" t="s">
        <v>914</v>
      </c>
    </row>
    <row r="47" spans="2:4" ht="24.75" x14ac:dyDescent="0.25">
      <c r="B47" s="305" t="s">
        <v>938</v>
      </c>
      <c r="C47" s="317" t="s">
        <v>203</v>
      </c>
      <c r="D47" s="314"/>
    </row>
    <row r="48" spans="2:4" ht="13.5" customHeight="1" x14ac:dyDescent="0.25">
      <c r="B48" s="300" t="s">
        <v>932</v>
      </c>
      <c r="C48" s="317" t="s">
        <v>203</v>
      </c>
      <c r="D48" s="306"/>
    </row>
    <row r="49" spans="2:9" ht="65.25" customHeight="1" x14ac:dyDescent="0.25">
      <c r="B49" s="300" t="s">
        <v>944</v>
      </c>
      <c r="C49" s="317" t="s">
        <v>203</v>
      </c>
      <c r="D49" s="306"/>
    </row>
    <row r="50" spans="2:9" ht="42.75" customHeight="1" thickBot="1" x14ac:dyDescent="0.3">
      <c r="B50" s="301" t="s">
        <v>908</v>
      </c>
      <c r="C50" s="318" t="s">
        <v>203</v>
      </c>
      <c r="D50" s="315"/>
    </row>
    <row r="51" spans="2:9" ht="4.5" customHeight="1" thickBot="1" x14ac:dyDescent="0.3">
      <c r="B51" s="299"/>
      <c r="C51" s="316"/>
      <c r="D51" s="313"/>
    </row>
    <row r="52" spans="2:9" ht="27" customHeight="1" thickBot="1" x14ac:dyDescent="0.3">
      <c r="B52" s="299" t="s">
        <v>909</v>
      </c>
      <c r="C52" s="316" t="s">
        <v>881</v>
      </c>
      <c r="D52" s="313" t="s">
        <v>914</v>
      </c>
    </row>
    <row r="53" spans="2:9" ht="36.75" x14ac:dyDescent="0.25">
      <c r="B53" s="305" t="s">
        <v>910</v>
      </c>
      <c r="C53" s="317" t="s">
        <v>203</v>
      </c>
      <c r="D53" s="314"/>
    </row>
    <row r="54" spans="2:9" ht="108.75" x14ac:dyDescent="0.25">
      <c r="B54" s="300" t="s">
        <v>911</v>
      </c>
      <c r="C54" s="317" t="s">
        <v>203</v>
      </c>
      <c r="D54" s="306"/>
      <c r="I54" t="s">
        <v>957</v>
      </c>
    </row>
    <row r="55" spans="2:9" ht="24.75" x14ac:dyDescent="0.25">
      <c r="B55" s="300" t="s">
        <v>912</v>
      </c>
      <c r="C55" s="317" t="s">
        <v>203</v>
      </c>
      <c r="D55" s="306"/>
    </row>
    <row r="56" spans="2:9" ht="49.5" thickBot="1" x14ac:dyDescent="0.3">
      <c r="B56" s="301" t="s">
        <v>913</v>
      </c>
      <c r="C56" s="318" t="s">
        <v>203</v>
      </c>
      <c r="D56" s="315"/>
    </row>
    <row r="57" spans="2:9" x14ac:dyDescent="0.25">
      <c r="B57" s="289"/>
    </row>
    <row r="58" spans="2:9" x14ac:dyDescent="0.25">
      <c r="B58" s="289"/>
    </row>
    <row r="59" spans="2:9" x14ac:dyDescent="0.25">
      <c r="B59" s="289"/>
    </row>
    <row r="60" spans="2:9" x14ac:dyDescent="0.25">
      <c r="B60" s="289"/>
    </row>
    <row r="61" spans="2:9" x14ac:dyDescent="0.25">
      <c r="B61" s="289"/>
    </row>
    <row r="62" spans="2:9" x14ac:dyDescent="0.25">
      <c r="B62" s="289"/>
    </row>
    <row r="63" spans="2:9" x14ac:dyDescent="0.25">
      <c r="B63" s="289"/>
    </row>
    <row r="64" spans="2:9" x14ac:dyDescent="0.25">
      <c r="B64" s="289"/>
    </row>
    <row r="65" spans="2:2" x14ac:dyDescent="0.25">
      <c r="B65" s="289"/>
    </row>
    <row r="66" spans="2:2" x14ac:dyDescent="0.25">
      <c r="B66" s="289"/>
    </row>
    <row r="67" spans="2:2" x14ac:dyDescent="0.25">
      <c r="B67" s="289"/>
    </row>
    <row r="68" spans="2:2" x14ac:dyDescent="0.25">
      <c r="B68" s="289"/>
    </row>
    <row r="69" spans="2:2" x14ac:dyDescent="0.25">
      <c r="B69" s="289"/>
    </row>
    <row r="70" spans="2:2" x14ac:dyDescent="0.25">
      <c r="B70" s="289"/>
    </row>
    <row r="71" spans="2:2" x14ac:dyDescent="0.25">
      <c r="B71" s="289"/>
    </row>
    <row r="72" spans="2:2" x14ac:dyDescent="0.25">
      <c r="B72" s="289"/>
    </row>
    <row r="73" spans="2:2" x14ac:dyDescent="0.25">
      <c r="B73" s="289"/>
    </row>
    <row r="74" spans="2:2" x14ac:dyDescent="0.25">
      <c r="B74" s="289"/>
    </row>
    <row r="75" spans="2:2" x14ac:dyDescent="0.25">
      <c r="B75" s="289"/>
    </row>
    <row r="76" spans="2:2" x14ac:dyDescent="0.25">
      <c r="B76" s="289"/>
    </row>
  </sheetData>
  <conditionalFormatting sqref="C26 C5:C9 C3 C20 C16 C45 C36 C12:C13">
    <cfRule type="containsText" dxfId="106" priority="103" operator="containsText" text="Yes">
      <formula>NOT(ISERROR(SEARCH("Yes",C3)))</formula>
    </cfRule>
  </conditionalFormatting>
  <conditionalFormatting sqref="C26 C5:C9 C3 C20 C16 C45 C36 C12:C13">
    <cfRule type="containsText" dxfId="105" priority="101" operator="containsText" text="N/A">
      <formula>NOT(ISERROR(SEARCH("N/A",C3)))</formula>
    </cfRule>
    <cfRule type="containsText" dxfId="104" priority="102" operator="containsText" text="No">
      <formula>NOT(ISERROR(SEARCH("No",C3)))</formula>
    </cfRule>
  </conditionalFormatting>
  <conditionalFormatting sqref="C10">
    <cfRule type="containsText" dxfId="103" priority="99" operator="containsText" text="Yes">
      <formula>NOT(ISERROR(SEARCH("Yes",C10)))</formula>
    </cfRule>
  </conditionalFormatting>
  <conditionalFormatting sqref="C10">
    <cfRule type="containsText" dxfId="102" priority="97" operator="containsText" text="N/A">
      <formula>NOT(ISERROR(SEARCH("N/A",C10)))</formula>
    </cfRule>
    <cfRule type="containsText" dxfId="101" priority="98" operator="containsText" text="No">
      <formula>NOT(ISERROR(SEARCH("No",C10)))</formula>
    </cfRule>
  </conditionalFormatting>
  <conditionalFormatting sqref="D5:D10 D12">
    <cfRule type="expression" dxfId="100" priority="106">
      <formula>OR($C5="Yes",$C5="N/A")</formula>
    </cfRule>
  </conditionalFormatting>
  <conditionalFormatting sqref="C15">
    <cfRule type="containsText" dxfId="99" priority="94" operator="containsText" text="Yes">
      <formula>NOT(ISERROR(SEARCH("Yes",C15)))</formula>
    </cfRule>
  </conditionalFormatting>
  <conditionalFormatting sqref="C15">
    <cfRule type="containsText" dxfId="98" priority="92" operator="containsText" text="N/A">
      <formula>NOT(ISERROR(SEARCH("N/A",C15)))</formula>
    </cfRule>
    <cfRule type="containsText" dxfId="97" priority="93" operator="containsText" text="No">
      <formula>NOT(ISERROR(SEARCH("No",C15)))</formula>
    </cfRule>
  </conditionalFormatting>
  <conditionalFormatting sqref="D15">
    <cfRule type="expression" dxfId="96" priority="95">
      <formula>OR($C15="Yes",$C15="N/A")</formula>
    </cfRule>
  </conditionalFormatting>
  <conditionalFormatting sqref="C18">
    <cfRule type="containsText" dxfId="95" priority="90" operator="containsText" text="Yes">
      <formula>NOT(ISERROR(SEARCH("Yes",C18)))</formula>
    </cfRule>
  </conditionalFormatting>
  <conditionalFormatting sqref="C18">
    <cfRule type="containsText" dxfId="94" priority="88" operator="containsText" text="N/A">
      <formula>NOT(ISERROR(SEARCH("N/A",C18)))</formula>
    </cfRule>
    <cfRule type="containsText" dxfId="93" priority="89" operator="containsText" text="No">
      <formula>NOT(ISERROR(SEARCH("No",C18)))</formula>
    </cfRule>
  </conditionalFormatting>
  <conditionalFormatting sqref="D18">
    <cfRule type="expression" dxfId="92" priority="91">
      <formula>OR($C18="Yes",$C18="N/A")</formula>
    </cfRule>
  </conditionalFormatting>
  <conditionalFormatting sqref="C19">
    <cfRule type="containsText" dxfId="91" priority="86" operator="containsText" text="Yes">
      <formula>NOT(ISERROR(SEARCH("Yes",C19)))</formula>
    </cfRule>
  </conditionalFormatting>
  <conditionalFormatting sqref="C19">
    <cfRule type="containsText" dxfId="90" priority="84" operator="containsText" text="N/A">
      <formula>NOT(ISERROR(SEARCH("N/A",C19)))</formula>
    </cfRule>
    <cfRule type="containsText" dxfId="89" priority="85" operator="containsText" text="No">
      <formula>NOT(ISERROR(SEARCH("No",C19)))</formula>
    </cfRule>
  </conditionalFormatting>
  <conditionalFormatting sqref="D19">
    <cfRule type="expression" dxfId="88" priority="87">
      <formula>OR($C19="Yes",$C19="N/A")</formula>
    </cfRule>
  </conditionalFormatting>
  <conditionalFormatting sqref="C22">
    <cfRule type="containsText" dxfId="87" priority="82" operator="containsText" text="Yes">
      <formula>NOT(ISERROR(SEARCH("Yes",C22)))</formula>
    </cfRule>
  </conditionalFormatting>
  <conditionalFormatting sqref="C22">
    <cfRule type="containsText" dxfId="86" priority="80" operator="containsText" text="N/A">
      <formula>NOT(ISERROR(SEARCH("N/A",C22)))</formula>
    </cfRule>
    <cfRule type="containsText" dxfId="85" priority="81" operator="containsText" text="No">
      <formula>NOT(ISERROR(SEARCH("No",C22)))</formula>
    </cfRule>
  </conditionalFormatting>
  <conditionalFormatting sqref="D22">
    <cfRule type="expression" dxfId="84" priority="83">
      <formula>OR($C22="Yes",$C22="N/A")</formula>
    </cfRule>
  </conditionalFormatting>
  <conditionalFormatting sqref="C23:C24">
    <cfRule type="containsText" dxfId="83" priority="78" operator="containsText" text="Yes">
      <formula>NOT(ISERROR(SEARCH("Yes",C23)))</formula>
    </cfRule>
  </conditionalFormatting>
  <conditionalFormatting sqref="C23:C24">
    <cfRule type="containsText" dxfId="82" priority="76" operator="containsText" text="N/A">
      <formula>NOT(ISERROR(SEARCH("N/A",C23)))</formula>
    </cfRule>
    <cfRule type="containsText" dxfId="81" priority="77" operator="containsText" text="No">
      <formula>NOT(ISERROR(SEARCH("No",C23)))</formula>
    </cfRule>
  </conditionalFormatting>
  <conditionalFormatting sqref="D23:D24">
    <cfRule type="expression" dxfId="80" priority="79">
      <formula>OR($C23="Yes",$C23="N/A")</formula>
    </cfRule>
  </conditionalFormatting>
  <conditionalFormatting sqref="C25">
    <cfRule type="containsText" dxfId="79" priority="74" operator="containsText" text="Yes">
      <formula>NOT(ISERROR(SEARCH("Yes",C25)))</formula>
    </cfRule>
  </conditionalFormatting>
  <conditionalFormatting sqref="C25">
    <cfRule type="containsText" dxfId="78" priority="72" operator="containsText" text="N/A">
      <formula>NOT(ISERROR(SEARCH("N/A",C25)))</formula>
    </cfRule>
    <cfRule type="containsText" dxfId="77" priority="73" operator="containsText" text="No">
      <formula>NOT(ISERROR(SEARCH("No",C25)))</formula>
    </cfRule>
  </conditionalFormatting>
  <conditionalFormatting sqref="D25">
    <cfRule type="expression" dxfId="76" priority="75">
      <formula>OR($C25="Yes",$C25="N/A")</formula>
    </cfRule>
  </conditionalFormatting>
  <conditionalFormatting sqref="C31">
    <cfRule type="containsText" dxfId="75" priority="70" operator="containsText" text="Yes">
      <formula>NOT(ISERROR(SEARCH("Yes",C31)))</formula>
    </cfRule>
  </conditionalFormatting>
  <conditionalFormatting sqref="C31">
    <cfRule type="containsText" dxfId="74" priority="68" operator="containsText" text="N/A">
      <formula>NOT(ISERROR(SEARCH("N/A",C31)))</formula>
    </cfRule>
    <cfRule type="containsText" dxfId="73" priority="69" operator="containsText" text="No">
      <formula>NOT(ISERROR(SEARCH("No",C31)))</formula>
    </cfRule>
  </conditionalFormatting>
  <conditionalFormatting sqref="D31">
    <cfRule type="expression" dxfId="72" priority="71">
      <formula>OR($C31="Yes",$C31="N/A")</formula>
    </cfRule>
  </conditionalFormatting>
  <conditionalFormatting sqref="C29">
    <cfRule type="containsText" dxfId="71" priority="66" operator="containsText" text="Yes">
      <formula>NOT(ISERROR(SEARCH("Yes",C29)))</formula>
    </cfRule>
  </conditionalFormatting>
  <conditionalFormatting sqref="C29">
    <cfRule type="containsText" dxfId="70" priority="64" operator="containsText" text="N/A">
      <formula>NOT(ISERROR(SEARCH("N/A",C29)))</formula>
    </cfRule>
    <cfRule type="containsText" dxfId="69" priority="65" operator="containsText" text="No">
      <formula>NOT(ISERROR(SEARCH("No",C29)))</formula>
    </cfRule>
  </conditionalFormatting>
  <conditionalFormatting sqref="D29">
    <cfRule type="expression" dxfId="68" priority="67">
      <formula>OR($C29="Yes",$C29="N/A")</formula>
    </cfRule>
  </conditionalFormatting>
  <conditionalFormatting sqref="C48:C49">
    <cfRule type="containsText" dxfId="67" priority="62" operator="containsText" text="Yes">
      <formula>NOT(ISERROR(SEARCH("Yes",C48)))</formula>
    </cfRule>
  </conditionalFormatting>
  <conditionalFormatting sqref="C48:C49">
    <cfRule type="containsText" dxfId="66" priority="60" operator="containsText" text="N/A">
      <formula>NOT(ISERROR(SEARCH("N/A",C48)))</formula>
    </cfRule>
    <cfRule type="containsText" dxfId="65" priority="61" operator="containsText" text="No">
      <formula>NOT(ISERROR(SEARCH("No",C48)))</formula>
    </cfRule>
  </conditionalFormatting>
  <conditionalFormatting sqref="D48:D49">
    <cfRule type="expression" dxfId="64" priority="63">
      <formula>OR($C48="Yes",$C48="N/A")</formula>
    </cfRule>
  </conditionalFormatting>
  <conditionalFormatting sqref="C39:C43">
    <cfRule type="containsText" dxfId="63" priority="58" operator="containsText" text="Yes">
      <formula>NOT(ISERROR(SEARCH("Yes",C39)))</formula>
    </cfRule>
  </conditionalFormatting>
  <conditionalFormatting sqref="C39:C43">
    <cfRule type="containsText" dxfId="62" priority="56" operator="containsText" text="N/A">
      <formula>NOT(ISERROR(SEARCH("N/A",C39)))</formula>
    </cfRule>
    <cfRule type="containsText" dxfId="61" priority="57" operator="containsText" text="No">
      <formula>NOT(ISERROR(SEARCH("No",C39)))</formula>
    </cfRule>
  </conditionalFormatting>
  <conditionalFormatting sqref="D39:D43">
    <cfRule type="expression" dxfId="60" priority="59">
      <formula>OR($C39="Yes",$C39="N/A")</formula>
    </cfRule>
  </conditionalFormatting>
  <conditionalFormatting sqref="C54:C55">
    <cfRule type="containsText" dxfId="59" priority="54" operator="containsText" text="Yes">
      <formula>NOT(ISERROR(SEARCH("Yes",C54)))</formula>
    </cfRule>
  </conditionalFormatting>
  <conditionalFormatting sqref="C54:C55">
    <cfRule type="containsText" dxfId="58" priority="52" operator="containsText" text="N/A">
      <formula>NOT(ISERROR(SEARCH("N/A",C54)))</formula>
    </cfRule>
    <cfRule type="containsText" dxfId="57" priority="53" operator="containsText" text="No">
      <formula>NOT(ISERROR(SEARCH("No",C54)))</formula>
    </cfRule>
  </conditionalFormatting>
  <conditionalFormatting sqref="D54:D55">
    <cfRule type="expression" dxfId="56" priority="55">
      <formula>OR($C54="Yes",$C54="N/A")</formula>
    </cfRule>
  </conditionalFormatting>
  <conditionalFormatting sqref="C30">
    <cfRule type="containsText" dxfId="55" priority="50" operator="containsText" text="Yes">
      <formula>NOT(ISERROR(SEARCH("Yes",C30)))</formula>
    </cfRule>
  </conditionalFormatting>
  <conditionalFormatting sqref="C30">
    <cfRule type="containsText" dxfId="54" priority="48" operator="containsText" text="N/A">
      <formula>NOT(ISERROR(SEARCH("N/A",C30)))</formula>
    </cfRule>
    <cfRule type="containsText" dxfId="53" priority="49" operator="containsText" text="No">
      <formula>NOT(ISERROR(SEARCH("No",C30)))</formula>
    </cfRule>
  </conditionalFormatting>
  <conditionalFormatting sqref="D30">
    <cfRule type="expression" dxfId="52" priority="51">
      <formula>OR($C30="Yes",$C30="N/A")</formula>
    </cfRule>
  </conditionalFormatting>
  <conditionalFormatting sqref="C35">
    <cfRule type="containsText" dxfId="51" priority="46" operator="containsText" text="Yes">
      <formula>NOT(ISERROR(SEARCH("Yes",C35)))</formula>
    </cfRule>
  </conditionalFormatting>
  <conditionalFormatting sqref="C35">
    <cfRule type="containsText" dxfId="50" priority="44" operator="containsText" text="N/A">
      <formula>NOT(ISERROR(SEARCH("N/A",C35)))</formula>
    </cfRule>
    <cfRule type="containsText" dxfId="49" priority="45" operator="containsText" text="No">
      <formula>NOT(ISERROR(SEARCH("No",C35)))</formula>
    </cfRule>
  </conditionalFormatting>
  <conditionalFormatting sqref="D35">
    <cfRule type="expression" dxfId="48" priority="47">
      <formula>OR($C35="Yes",$C35="N/A")</formula>
    </cfRule>
  </conditionalFormatting>
  <conditionalFormatting sqref="C44">
    <cfRule type="containsText" dxfId="47" priority="42" operator="containsText" text="Yes">
      <formula>NOT(ISERROR(SEARCH("Yes",C44)))</formula>
    </cfRule>
  </conditionalFormatting>
  <conditionalFormatting sqref="C44">
    <cfRule type="containsText" dxfId="46" priority="40" operator="containsText" text="N/A">
      <formula>NOT(ISERROR(SEARCH("N/A",C44)))</formula>
    </cfRule>
    <cfRule type="containsText" dxfId="45" priority="41" operator="containsText" text="No">
      <formula>NOT(ISERROR(SEARCH("No",C44)))</formula>
    </cfRule>
  </conditionalFormatting>
  <conditionalFormatting sqref="D44">
    <cfRule type="expression" dxfId="44" priority="43">
      <formula>OR($C44="Yes",$C44="N/A")</formula>
    </cfRule>
  </conditionalFormatting>
  <conditionalFormatting sqref="C50">
    <cfRule type="containsText" dxfId="43" priority="38" operator="containsText" text="Yes">
      <formula>NOT(ISERROR(SEARCH("Yes",C50)))</formula>
    </cfRule>
  </conditionalFormatting>
  <conditionalFormatting sqref="C50">
    <cfRule type="containsText" dxfId="42" priority="36" operator="containsText" text="N/A">
      <formula>NOT(ISERROR(SEARCH("N/A",C50)))</formula>
    </cfRule>
    <cfRule type="containsText" dxfId="41" priority="37" operator="containsText" text="No">
      <formula>NOT(ISERROR(SEARCH("No",C50)))</formula>
    </cfRule>
  </conditionalFormatting>
  <conditionalFormatting sqref="D50">
    <cfRule type="expression" dxfId="40" priority="39">
      <formula>OR($C50="Yes",$C50="N/A")</formula>
    </cfRule>
  </conditionalFormatting>
  <conditionalFormatting sqref="C56">
    <cfRule type="containsText" dxfId="39" priority="34" operator="containsText" text="Yes">
      <formula>NOT(ISERROR(SEARCH("Yes",C56)))</formula>
    </cfRule>
  </conditionalFormatting>
  <conditionalFormatting sqref="C56">
    <cfRule type="containsText" dxfId="38" priority="32" operator="containsText" text="N/A">
      <formula>NOT(ISERROR(SEARCH("N/A",C56)))</formula>
    </cfRule>
    <cfRule type="containsText" dxfId="37" priority="33" operator="containsText" text="No">
      <formula>NOT(ISERROR(SEARCH("No",C56)))</formula>
    </cfRule>
  </conditionalFormatting>
  <conditionalFormatting sqref="D56">
    <cfRule type="expression" dxfId="36" priority="35">
      <formula>OR($C56="Yes",$C56="N/A")</formula>
    </cfRule>
  </conditionalFormatting>
  <conditionalFormatting sqref="C28">
    <cfRule type="containsText" dxfId="35" priority="30" operator="containsText" text="Yes">
      <formula>NOT(ISERROR(SEARCH("Yes",C28)))</formula>
    </cfRule>
  </conditionalFormatting>
  <conditionalFormatting sqref="C28">
    <cfRule type="containsText" dxfId="34" priority="28" operator="containsText" text="N/A">
      <formula>NOT(ISERROR(SEARCH("N/A",C28)))</formula>
    </cfRule>
    <cfRule type="containsText" dxfId="33" priority="29" operator="containsText" text="No">
      <formula>NOT(ISERROR(SEARCH("No",C28)))</formula>
    </cfRule>
  </conditionalFormatting>
  <conditionalFormatting sqref="D28">
    <cfRule type="expression" dxfId="32" priority="31">
      <formula>OR($C28="Yes",$C28="N/A")</formula>
    </cfRule>
  </conditionalFormatting>
  <conditionalFormatting sqref="C33">
    <cfRule type="containsText" dxfId="31" priority="26" operator="containsText" text="Yes">
      <formula>NOT(ISERROR(SEARCH("Yes",C33)))</formula>
    </cfRule>
  </conditionalFormatting>
  <conditionalFormatting sqref="C33">
    <cfRule type="containsText" dxfId="30" priority="24" operator="containsText" text="N/A">
      <formula>NOT(ISERROR(SEARCH("N/A",C33)))</formula>
    </cfRule>
    <cfRule type="containsText" dxfId="29" priority="25" operator="containsText" text="No">
      <formula>NOT(ISERROR(SEARCH("No",C33)))</formula>
    </cfRule>
  </conditionalFormatting>
  <conditionalFormatting sqref="D33">
    <cfRule type="expression" dxfId="28" priority="27">
      <formula>OR($C33="Yes",$C33="N/A")</formula>
    </cfRule>
  </conditionalFormatting>
  <conditionalFormatting sqref="C47">
    <cfRule type="containsText" dxfId="27" priority="22" operator="containsText" text="Yes">
      <formula>NOT(ISERROR(SEARCH("Yes",C47)))</formula>
    </cfRule>
  </conditionalFormatting>
  <conditionalFormatting sqref="C47">
    <cfRule type="containsText" dxfId="26" priority="20" operator="containsText" text="N/A">
      <formula>NOT(ISERROR(SEARCH("N/A",C47)))</formula>
    </cfRule>
    <cfRule type="containsText" dxfId="25" priority="21" operator="containsText" text="No">
      <formula>NOT(ISERROR(SEARCH("No",C47)))</formula>
    </cfRule>
  </conditionalFormatting>
  <conditionalFormatting sqref="D47">
    <cfRule type="expression" dxfId="24" priority="23">
      <formula>OR($C47="Yes",$C47="N/A")</formula>
    </cfRule>
  </conditionalFormatting>
  <conditionalFormatting sqref="C53">
    <cfRule type="containsText" dxfId="23" priority="18" operator="containsText" text="Yes">
      <formula>NOT(ISERROR(SEARCH("Yes",C53)))</formula>
    </cfRule>
  </conditionalFormatting>
  <conditionalFormatting sqref="C53">
    <cfRule type="containsText" dxfId="22" priority="16" operator="containsText" text="N/A">
      <formula>NOT(ISERROR(SEARCH("N/A",C53)))</formula>
    </cfRule>
    <cfRule type="containsText" dxfId="21" priority="17" operator="containsText" text="No">
      <formula>NOT(ISERROR(SEARCH("No",C53)))</formula>
    </cfRule>
  </conditionalFormatting>
  <conditionalFormatting sqref="D53">
    <cfRule type="expression" dxfId="20" priority="19">
      <formula>OR($C53="Yes",$C53="N/A")</formula>
    </cfRule>
  </conditionalFormatting>
  <conditionalFormatting sqref="C38">
    <cfRule type="containsText" dxfId="19" priority="14" operator="containsText" text="Yes">
      <formula>NOT(ISERROR(SEARCH("Yes",C38)))</formula>
    </cfRule>
  </conditionalFormatting>
  <conditionalFormatting sqref="C38">
    <cfRule type="containsText" dxfId="18" priority="12" operator="containsText" text="N/A">
      <formula>NOT(ISERROR(SEARCH("N/A",C38)))</formula>
    </cfRule>
    <cfRule type="containsText" dxfId="17" priority="13" operator="containsText" text="No">
      <formula>NOT(ISERROR(SEARCH("No",C38)))</formula>
    </cfRule>
  </conditionalFormatting>
  <conditionalFormatting sqref="D38">
    <cfRule type="expression" dxfId="16" priority="15">
      <formula>OR($C38="Yes",$C38="N/A")</formula>
    </cfRule>
  </conditionalFormatting>
  <conditionalFormatting sqref="C34">
    <cfRule type="containsText" dxfId="15" priority="10" operator="containsText" text="Yes">
      <formula>NOT(ISERROR(SEARCH("Yes",C34)))</formula>
    </cfRule>
  </conditionalFormatting>
  <conditionalFormatting sqref="C34">
    <cfRule type="containsText" dxfId="14" priority="8" operator="containsText" text="N/A">
      <formula>NOT(ISERROR(SEARCH("N/A",C34)))</formula>
    </cfRule>
    <cfRule type="containsText" dxfId="13" priority="9" operator="containsText" text="No">
      <formula>NOT(ISERROR(SEARCH("No",C34)))</formula>
    </cfRule>
  </conditionalFormatting>
  <conditionalFormatting sqref="D34">
    <cfRule type="expression" dxfId="12" priority="11">
      <formula>OR($C34="Yes",$C34="N/A")</formula>
    </cfRule>
  </conditionalFormatting>
  <conditionalFormatting sqref="C11">
    <cfRule type="containsText" dxfId="11" priority="3" operator="containsText" text="Yes">
      <formula>NOT(ISERROR(SEARCH("Yes",C11)))</formula>
    </cfRule>
  </conditionalFormatting>
  <conditionalFormatting sqref="C11">
    <cfRule type="containsText" dxfId="10" priority="1" operator="containsText" text="N/A">
      <formula>NOT(ISERROR(SEARCH("N/A",C11)))</formula>
    </cfRule>
    <cfRule type="containsText" dxfId="9" priority="2" operator="containsText" text="No">
      <formula>NOT(ISERROR(SEARCH("No",C11)))</formula>
    </cfRule>
  </conditionalFormatting>
  <conditionalFormatting sqref="D11">
    <cfRule type="expression" dxfId="8" priority="4">
      <formula>OR($C11="Yes",$C11="N/A")</formula>
    </cfRule>
  </conditionalFormatting>
  <dataValidations count="1">
    <dataValidation type="list" allowBlank="1" showInputMessage="1" showErrorMessage="1" sqref="C15 C22:C25 C28:C30 C33:C35 C38:C44 C47:C50 C18:C19 C53:C56 C5:C12">
      <formula1>"Yes, No, N/A"</formula1>
    </dataValidation>
  </dataValidations>
  <pageMargins left="0.7" right="0.7" top="0.75" bottom="0.75" header="0.3" footer="0.3"/>
  <pageSetup orientation="portrait" r:id="rId1"/>
  <rowBreaks count="2" manualBreakCount="2">
    <brk id="20" max="16383" man="1"/>
    <brk id="3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sheetPr>
  <dimension ref="A1:S152"/>
  <sheetViews>
    <sheetView topLeftCell="A121" zoomScaleNormal="100" workbookViewId="0">
      <selection activeCell="G145" sqref="G145"/>
    </sheetView>
  </sheetViews>
  <sheetFormatPr defaultRowHeight="15" x14ac:dyDescent="0.25"/>
  <cols>
    <col min="1" max="1" width="35.85546875" bestFit="1" customWidth="1"/>
    <col min="3" max="3" width="8.7109375" customWidth="1"/>
    <col min="13" max="13" width="14.28515625" bestFit="1" customWidth="1"/>
  </cols>
  <sheetData>
    <row r="1" spans="1:19" x14ac:dyDescent="0.25">
      <c r="A1" t="s">
        <v>149</v>
      </c>
      <c r="M1">
        <v>40</v>
      </c>
      <c r="N1" t="s">
        <v>202</v>
      </c>
      <c r="P1" t="s">
        <v>16</v>
      </c>
      <c r="Q1" t="s">
        <v>33</v>
      </c>
      <c r="R1" t="s">
        <v>16</v>
      </c>
    </row>
    <row r="2" spans="1:19" x14ac:dyDescent="0.25">
      <c r="A2" t="s">
        <v>150</v>
      </c>
      <c r="N2" t="s">
        <v>203</v>
      </c>
      <c r="P2" t="s">
        <v>333</v>
      </c>
      <c r="Q2" t="s">
        <v>345</v>
      </c>
      <c r="R2" t="s">
        <v>323</v>
      </c>
    </row>
    <row r="3" spans="1:19" x14ac:dyDescent="0.25">
      <c r="A3" t="s">
        <v>195</v>
      </c>
    </row>
    <row r="4" spans="1:19" x14ac:dyDescent="0.25">
      <c r="B4" t="s">
        <v>149</v>
      </c>
      <c r="C4" t="s">
        <v>150</v>
      </c>
      <c r="D4" t="s">
        <v>195</v>
      </c>
      <c r="N4" t="s">
        <v>558</v>
      </c>
      <c r="P4" t="s">
        <v>334</v>
      </c>
      <c r="Q4" t="s">
        <v>355</v>
      </c>
      <c r="R4" t="s">
        <v>357</v>
      </c>
      <c r="S4" t="s">
        <v>338</v>
      </c>
    </row>
    <row r="5" spans="1:19" x14ac:dyDescent="0.25">
      <c r="A5" t="s">
        <v>151</v>
      </c>
      <c r="B5" t="s">
        <v>753</v>
      </c>
      <c r="D5" t="s">
        <v>454</v>
      </c>
      <c r="N5" t="s">
        <v>559</v>
      </c>
      <c r="P5" t="s">
        <v>335</v>
      </c>
      <c r="Q5" t="s">
        <v>26</v>
      </c>
      <c r="R5" t="s">
        <v>358</v>
      </c>
      <c r="S5" t="s">
        <v>359</v>
      </c>
    </row>
    <row r="6" spans="1:19" ht="18" x14ac:dyDescent="0.35">
      <c r="A6" t="s">
        <v>754</v>
      </c>
      <c r="B6" t="s">
        <v>153</v>
      </c>
      <c r="D6" t="s">
        <v>457</v>
      </c>
      <c r="P6" t="s">
        <v>336</v>
      </c>
      <c r="Q6" t="s">
        <v>16</v>
      </c>
      <c r="S6" t="s">
        <v>360</v>
      </c>
    </row>
    <row r="7" spans="1:19" x14ac:dyDescent="0.25">
      <c r="A7" t="s">
        <v>755</v>
      </c>
      <c r="B7" t="s">
        <v>756</v>
      </c>
      <c r="D7" t="s">
        <v>459</v>
      </c>
      <c r="P7" t="s">
        <v>337</v>
      </c>
      <c r="Q7" t="s">
        <v>356</v>
      </c>
      <c r="S7" t="s">
        <v>337</v>
      </c>
    </row>
    <row r="8" spans="1:19" x14ac:dyDescent="0.25">
      <c r="A8" t="s">
        <v>152</v>
      </c>
      <c r="B8" t="s">
        <v>757</v>
      </c>
      <c r="D8" t="s">
        <v>460</v>
      </c>
      <c r="S8" t="s">
        <v>361</v>
      </c>
    </row>
    <row r="10" spans="1:19" x14ac:dyDescent="0.25">
      <c r="B10" t="s">
        <v>149</v>
      </c>
      <c r="C10" t="s">
        <v>150</v>
      </c>
      <c r="D10" t="s">
        <v>195</v>
      </c>
    </row>
    <row r="11" spans="1:19" x14ac:dyDescent="0.25">
      <c r="A11" t="s">
        <v>151</v>
      </c>
      <c r="B11">
        <v>0.4</v>
      </c>
      <c r="C11">
        <v>0.4</v>
      </c>
      <c r="D11" t="s">
        <v>432</v>
      </c>
    </row>
    <row r="12" spans="1:19" x14ac:dyDescent="0.25">
      <c r="A12" t="s">
        <v>754</v>
      </c>
      <c r="B12">
        <v>0.4</v>
      </c>
      <c r="C12">
        <v>0.4</v>
      </c>
      <c r="D12" t="s">
        <v>432</v>
      </c>
    </row>
    <row r="13" spans="1:19" x14ac:dyDescent="0.25">
      <c r="A13" t="s">
        <v>755</v>
      </c>
      <c r="B13">
        <v>0.4</v>
      </c>
      <c r="C13">
        <v>0.4</v>
      </c>
      <c r="D13" t="s">
        <v>432</v>
      </c>
    </row>
    <row r="14" spans="1:19" x14ac:dyDescent="0.25">
      <c r="A14" t="s">
        <v>152</v>
      </c>
      <c r="B14">
        <v>0.4</v>
      </c>
      <c r="C14">
        <v>0.4</v>
      </c>
      <c r="D14" t="s">
        <v>432</v>
      </c>
    </row>
    <row r="16" spans="1:19" x14ac:dyDescent="0.25">
      <c r="A16" t="s">
        <v>565</v>
      </c>
      <c r="B16" t="s">
        <v>149</v>
      </c>
      <c r="C16" t="s">
        <v>150</v>
      </c>
      <c r="D16" t="s">
        <v>195</v>
      </c>
    </row>
    <row r="17" spans="1:9" x14ac:dyDescent="0.25">
      <c r="A17" t="s">
        <v>566</v>
      </c>
      <c r="B17" t="s">
        <v>568</v>
      </c>
      <c r="C17" t="s">
        <v>153</v>
      </c>
      <c r="D17" t="s">
        <v>462</v>
      </c>
    </row>
    <row r="18" spans="1:9" x14ac:dyDescent="0.25">
      <c r="A18" t="s">
        <v>567</v>
      </c>
      <c r="B18" t="s">
        <v>568</v>
      </c>
      <c r="C18" t="s">
        <v>153</v>
      </c>
      <c r="D18" t="s">
        <v>462</v>
      </c>
    </row>
    <row r="20" spans="1:9" x14ac:dyDescent="0.25">
      <c r="A20" t="s">
        <v>565</v>
      </c>
      <c r="B20" t="s">
        <v>149</v>
      </c>
      <c r="C20" t="s">
        <v>150</v>
      </c>
      <c r="D20" t="s">
        <v>195</v>
      </c>
    </row>
    <row r="21" spans="1:9" x14ac:dyDescent="0.25">
      <c r="A21" t="s">
        <v>566</v>
      </c>
      <c r="B21">
        <v>0.49</v>
      </c>
      <c r="C21">
        <v>0.4</v>
      </c>
      <c r="D21" t="s">
        <v>432</v>
      </c>
    </row>
    <row r="22" spans="1:9" x14ac:dyDescent="0.25">
      <c r="A22" t="s">
        <v>567</v>
      </c>
      <c r="B22">
        <v>0.39</v>
      </c>
      <c r="C22">
        <v>0.4</v>
      </c>
      <c r="D22" t="s">
        <v>432</v>
      </c>
    </row>
    <row r="24" spans="1:9" x14ac:dyDescent="0.25">
      <c r="B24" t="s">
        <v>149</v>
      </c>
      <c r="C24" t="s">
        <v>150</v>
      </c>
      <c r="D24" t="s">
        <v>195</v>
      </c>
    </row>
    <row r="25" spans="1:9" x14ac:dyDescent="0.25">
      <c r="A25" t="s">
        <v>169</v>
      </c>
      <c r="B25" t="s">
        <v>758</v>
      </c>
      <c r="C25" t="s">
        <v>463</v>
      </c>
      <c r="D25" t="s">
        <v>464</v>
      </c>
    </row>
    <row r="26" spans="1:9" x14ac:dyDescent="0.25">
      <c r="B26" t="s">
        <v>149</v>
      </c>
      <c r="C26" t="s">
        <v>150</v>
      </c>
      <c r="D26" t="s">
        <v>195</v>
      </c>
    </row>
    <row r="27" spans="1:9" x14ac:dyDescent="0.25">
      <c r="A27" t="s">
        <v>173</v>
      </c>
      <c r="B27" t="s">
        <v>182</v>
      </c>
      <c r="C27" t="s">
        <v>182</v>
      </c>
      <c r="D27" t="s">
        <v>192</v>
      </c>
      <c r="G27" s="69"/>
      <c r="H27" s="69"/>
      <c r="I27" s="69"/>
    </row>
    <row r="28" spans="1:9" x14ac:dyDescent="0.25">
      <c r="B28" t="s">
        <v>149</v>
      </c>
      <c r="C28" t="s">
        <v>150</v>
      </c>
      <c r="D28" t="s">
        <v>195</v>
      </c>
    </row>
    <row r="29" spans="1:9" x14ac:dyDescent="0.25">
      <c r="A29" t="s">
        <v>175</v>
      </c>
      <c r="B29" t="s">
        <v>184</v>
      </c>
      <c r="D29" t="s">
        <v>184</v>
      </c>
    </row>
    <row r="30" spans="1:9" x14ac:dyDescent="0.25">
      <c r="B30" t="s">
        <v>149</v>
      </c>
      <c r="C30" t="s">
        <v>150</v>
      </c>
      <c r="D30" t="s">
        <v>195</v>
      </c>
    </row>
    <row r="31" spans="1:9" x14ac:dyDescent="0.25">
      <c r="A31" t="s">
        <v>172</v>
      </c>
      <c r="B31" t="s">
        <v>759</v>
      </c>
      <c r="C31" t="s">
        <v>474</v>
      </c>
      <c r="D31" t="s">
        <v>475</v>
      </c>
      <c r="G31" s="69"/>
      <c r="H31" s="69"/>
      <c r="I31" s="69"/>
    </row>
    <row r="32" spans="1:9" x14ac:dyDescent="0.25">
      <c r="A32" t="s">
        <v>176</v>
      </c>
      <c r="B32" t="s">
        <v>185</v>
      </c>
      <c r="C32" t="s">
        <v>185</v>
      </c>
      <c r="D32" t="s">
        <v>476</v>
      </c>
    </row>
    <row r="33" spans="1:9" x14ac:dyDescent="0.25">
      <c r="A33" t="s">
        <v>174</v>
      </c>
      <c r="B33" t="s">
        <v>186</v>
      </c>
      <c r="C33" t="s">
        <v>186</v>
      </c>
      <c r="D33" t="s">
        <v>474</v>
      </c>
      <c r="G33" s="69"/>
      <c r="H33" s="69"/>
      <c r="I33" s="69"/>
    </row>
    <row r="34" spans="1:9" x14ac:dyDescent="0.25">
      <c r="B34" t="s">
        <v>149</v>
      </c>
      <c r="C34" t="s">
        <v>150</v>
      </c>
      <c r="D34" t="s">
        <v>195</v>
      </c>
    </row>
    <row r="35" spans="1:9" x14ac:dyDescent="0.25">
      <c r="A35" t="s">
        <v>177</v>
      </c>
      <c r="B35" t="s">
        <v>573</v>
      </c>
      <c r="C35" t="s">
        <v>477</v>
      </c>
      <c r="D35" t="s">
        <v>193</v>
      </c>
    </row>
    <row r="36" spans="1:9" x14ac:dyDescent="0.25">
      <c r="A36" t="s">
        <v>178</v>
      </c>
      <c r="B36" t="s">
        <v>760</v>
      </c>
      <c r="C36" t="s">
        <v>479</v>
      </c>
      <c r="D36" t="s">
        <v>480</v>
      </c>
      <c r="G36" s="69"/>
      <c r="H36" s="69"/>
      <c r="I36" s="69"/>
    </row>
    <row r="37" spans="1:9" x14ac:dyDescent="0.25">
      <c r="B37" t="s">
        <v>149</v>
      </c>
      <c r="C37" t="s">
        <v>150</v>
      </c>
      <c r="D37" t="s">
        <v>195</v>
      </c>
    </row>
    <row r="38" spans="1:9" x14ac:dyDescent="0.25">
      <c r="A38" t="s">
        <v>179</v>
      </c>
      <c r="B38" t="s">
        <v>761</v>
      </c>
      <c r="C38" t="s">
        <v>188</v>
      </c>
      <c r="D38" t="s">
        <v>187</v>
      </c>
    </row>
    <row r="39" spans="1:9" x14ac:dyDescent="0.25">
      <c r="A39" t="s">
        <v>180</v>
      </c>
      <c r="B39" t="s">
        <v>762</v>
      </c>
      <c r="C39" t="s">
        <v>188</v>
      </c>
      <c r="D39" t="s">
        <v>194</v>
      </c>
    </row>
    <row r="43" spans="1:9" x14ac:dyDescent="0.25">
      <c r="A43" t="s">
        <v>578</v>
      </c>
      <c r="B43" t="s">
        <v>550</v>
      </c>
    </row>
    <row r="44" spans="1:9" x14ac:dyDescent="0.25">
      <c r="A44" t="s">
        <v>579</v>
      </c>
      <c r="B44" t="s">
        <v>550</v>
      </c>
    </row>
    <row r="45" spans="1:9" x14ac:dyDescent="0.25">
      <c r="A45" t="s">
        <v>577</v>
      </c>
      <c r="B45" t="s">
        <v>363</v>
      </c>
    </row>
    <row r="46" spans="1:9" x14ac:dyDescent="0.25">
      <c r="A46" t="s">
        <v>580</v>
      </c>
      <c r="B46" t="s">
        <v>363</v>
      </c>
    </row>
    <row r="47" spans="1:9" x14ac:dyDescent="0.25">
      <c r="A47" t="s">
        <v>763</v>
      </c>
      <c r="B47" t="s">
        <v>550</v>
      </c>
    </row>
    <row r="48" spans="1:9" x14ac:dyDescent="0.25">
      <c r="A48" t="s">
        <v>764</v>
      </c>
      <c r="B48" t="s">
        <v>550</v>
      </c>
    </row>
    <row r="49" spans="1:2" x14ac:dyDescent="0.25">
      <c r="A49" t="s">
        <v>765</v>
      </c>
      <c r="B49" t="s">
        <v>363</v>
      </c>
    </row>
    <row r="50" spans="1:2" x14ac:dyDescent="0.25">
      <c r="A50" t="s">
        <v>766</v>
      </c>
      <c r="B50" t="s">
        <v>363</v>
      </c>
    </row>
    <row r="52" spans="1:2" x14ac:dyDescent="0.25">
      <c r="A52" s="179" t="s">
        <v>923</v>
      </c>
    </row>
    <row r="53" spans="1:2" x14ac:dyDescent="0.25">
      <c r="A53" t="s">
        <v>789</v>
      </c>
    </row>
    <row r="54" spans="1:2" x14ac:dyDescent="0.25">
      <c r="A54" t="s">
        <v>790</v>
      </c>
    </row>
    <row r="56" spans="1:2" x14ac:dyDescent="0.25">
      <c r="A56" t="s">
        <v>771</v>
      </c>
    </row>
    <row r="57" spans="1:2" x14ac:dyDescent="0.25">
      <c r="A57" s="179" t="s">
        <v>791</v>
      </c>
    </row>
    <row r="60" spans="1:2" x14ac:dyDescent="0.25">
      <c r="A60" t="s">
        <v>772</v>
      </c>
    </row>
    <row r="61" spans="1:2" x14ac:dyDescent="0.25">
      <c r="A61" t="s">
        <v>792</v>
      </c>
    </row>
    <row r="62" spans="1:2" x14ac:dyDescent="0.25">
      <c r="A62" t="s">
        <v>793</v>
      </c>
    </row>
    <row r="63" spans="1:2" x14ac:dyDescent="0.25">
      <c r="A63" t="s">
        <v>956</v>
      </c>
    </row>
    <row r="64" spans="1:2" x14ac:dyDescent="0.25">
      <c r="A64" t="s">
        <v>810</v>
      </c>
      <c r="B64" t="s">
        <v>811</v>
      </c>
    </row>
    <row r="65" spans="1:4" x14ac:dyDescent="0.25">
      <c r="A65" t="s">
        <v>812</v>
      </c>
      <c r="B65">
        <v>2.5499999999999998</v>
      </c>
    </row>
    <row r="66" spans="1:4" x14ac:dyDescent="0.25">
      <c r="A66" t="s">
        <v>813</v>
      </c>
      <c r="B66">
        <v>1.05</v>
      </c>
    </row>
    <row r="69" spans="1:4" x14ac:dyDescent="0.25">
      <c r="A69" t="s">
        <v>792</v>
      </c>
    </row>
    <row r="70" spans="1:4" x14ac:dyDescent="0.25">
      <c r="A70" t="s">
        <v>816</v>
      </c>
      <c r="B70" t="s">
        <v>817</v>
      </c>
      <c r="C70" t="s">
        <v>818</v>
      </c>
      <c r="D70" t="s">
        <v>819</v>
      </c>
    </row>
    <row r="71" spans="1:4" x14ac:dyDescent="0.25">
      <c r="A71">
        <v>0.05</v>
      </c>
      <c r="B71">
        <f>A71-0.02</f>
        <v>3.0000000000000002E-2</v>
      </c>
      <c r="C71">
        <f>(1-'SCA Exec Summary'!$D$15)*A71+'SCA Exec Summary'!$D$15*B71</f>
        <v>0.05</v>
      </c>
      <c r="D71">
        <v>3</v>
      </c>
    </row>
    <row r="72" spans="1:4" x14ac:dyDescent="0.25">
      <c r="A72">
        <v>0.06</v>
      </c>
      <c r="B72">
        <f t="shared" ref="B72:B87" si="0">A72-0.02</f>
        <v>3.9999999999999994E-2</v>
      </c>
      <c r="C72">
        <f>(1-'SCA Exec Summary'!$D$15)*A72+'SCA Exec Summary'!$D$15*B72</f>
        <v>0.06</v>
      </c>
      <c r="D72">
        <v>4</v>
      </c>
    </row>
    <row r="73" spans="1:4" x14ac:dyDescent="0.25">
      <c r="A73">
        <v>0.08</v>
      </c>
      <c r="B73">
        <f t="shared" si="0"/>
        <v>0.06</v>
      </c>
      <c r="C73">
        <f>(1-'SCA Exec Summary'!$D$15)*A73+'SCA Exec Summary'!$D$15*B73</f>
        <v>0.08</v>
      </c>
      <c r="D73">
        <f>D72+1</f>
        <v>5</v>
      </c>
    </row>
    <row r="74" spans="1:4" x14ac:dyDescent="0.25">
      <c r="A74">
        <v>0.1</v>
      </c>
      <c r="B74">
        <f t="shared" si="0"/>
        <v>0.08</v>
      </c>
      <c r="C74">
        <f>(1-'SCA Exec Summary'!$D$15)*A74+'SCA Exec Summary'!$D$15*B74</f>
        <v>0.1</v>
      </c>
      <c r="D74">
        <f t="shared" ref="D74:D87" si="1">D73+1</f>
        <v>6</v>
      </c>
    </row>
    <row r="75" spans="1:4" x14ac:dyDescent="0.25">
      <c r="A75">
        <v>0.12</v>
      </c>
      <c r="B75">
        <f t="shared" si="0"/>
        <v>9.9999999999999992E-2</v>
      </c>
      <c r="C75">
        <f>(1-'SCA Exec Summary'!$D$15)*A75+'SCA Exec Summary'!$D$15*B75</f>
        <v>0.12</v>
      </c>
      <c r="D75">
        <f t="shared" si="1"/>
        <v>7</v>
      </c>
    </row>
    <row r="76" spans="1:4" x14ac:dyDescent="0.25">
      <c r="A76">
        <v>0.14000000000000001</v>
      </c>
      <c r="B76">
        <f t="shared" si="0"/>
        <v>0.12000000000000001</v>
      </c>
      <c r="C76">
        <f>(1-'SCA Exec Summary'!$D$15)*A76+'SCA Exec Summary'!$D$15*B76</f>
        <v>0.14000000000000001</v>
      </c>
      <c r="D76">
        <f t="shared" si="1"/>
        <v>8</v>
      </c>
    </row>
    <row r="77" spans="1:4" x14ac:dyDescent="0.25">
      <c r="A77">
        <v>0.16</v>
      </c>
      <c r="B77">
        <f t="shared" si="0"/>
        <v>0.14000000000000001</v>
      </c>
      <c r="C77">
        <f>(1-'SCA Exec Summary'!$D$15)*A77+'SCA Exec Summary'!$D$15*B77</f>
        <v>0.16</v>
      </c>
      <c r="D77">
        <f t="shared" si="1"/>
        <v>9</v>
      </c>
    </row>
    <row r="78" spans="1:4" x14ac:dyDescent="0.25">
      <c r="A78">
        <v>0.18</v>
      </c>
      <c r="B78">
        <f t="shared" si="0"/>
        <v>0.16</v>
      </c>
      <c r="C78">
        <f>(1-'SCA Exec Summary'!$D$15)*A78+'SCA Exec Summary'!$D$15*B78</f>
        <v>0.18</v>
      </c>
      <c r="D78">
        <f t="shared" si="1"/>
        <v>10</v>
      </c>
    </row>
    <row r="79" spans="1:4" x14ac:dyDescent="0.25">
      <c r="A79">
        <v>0.2</v>
      </c>
      <c r="B79">
        <f t="shared" si="0"/>
        <v>0.18000000000000002</v>
      </c>
      <c r="C79">
        <f>(1-'SCA Exec Summary'!$D$15)*A79+'SCA Exec Summary'!$D$15*B79</f>
        <v>0.2</v>
      </c>
      <c r="D79">
        <f t="shared" si="1"/>
        <v>11</v>
      </c>
    </row>
    <row r="80" spans="1:4" x14ac:dyDescent="0.25">
      <c r="A80">
        <v>0.22</v>
      </c>
      <c r="B80">
        <f t="shared" si="0"/>
        <v>0.2</v>
      </c>
      <c r="C80">
        <f>(1-'SCA Exec Summary'!$D$15)*A80+'SCA Exec Summary'!$D$15*B80</f>
        <v>0.22</v>
      </c>
      <c r="D80">
        <f t="shared" si="1"/>
        <v>12</v>
      </c>
    </row>
    <row r="81" spans="1:4" x14ac:dyDescent="0.25">
      <c r="A81">
        <v>0.24</v>
      </c>
      <c r="B81">
        <f t="shared" si="0"/>
        <v>0.22</v>
      </c>
      <c r="C81">
        <f>(1-'SCA Exec Summary'!$D$15)*A81+'SCA Exec Summary'!$D$15*B81</f>
        <v>0.24</v>
      </c>
      <c r="D81">
        <f t="shared" si="1"/>
        <v>13</v>
      </c>
    </row>
    <row r="82" spans="1:4" x14ac:dyDescent="0.25">
      <c r="A82">
        <v>0.26</v>
      </c>
      <c r="B82">
        <f t="shared" si="0"/>
        <v>0.24000000000000002</v>
      </c>
      <c r="C82">
        <f>(1-'SCA Exec Summary'!$D$15)*A82+'SCA Exec Summary'!$D$15*B82</f>
        <v>0.26</v>
      </c>
      <c r="D82">
        <f t="shared" si="1"/>
        <v>14</v>
      </c>
    </row>
    <row r="83" spans="1:4" x14ac:dyDescent="0.25">
      <c r="A83">
        <v>0.28000000000000003</v>
      </c>
      <c r="B83">
        <f t="shared" si="0"/>
        <v>0.26</v>
      </c>
      <c r="C83">
        <f>(1-'SCA Exec Summary'!$D$15)*A83+'SCA Exec Summary'!$D$15*B83</f>
        <v>0.28000000000000003</v>
      </c>
      <c r="D83">
        <f t="shared" si="1"/>
        <v>15</v>
      </c>
    </row>
    <row r="84" spans="1:4" x14ac:dyDescent="0.25">
      <c r="A84">
        <v>0.3</v>
      </c>
      <c r="B84">
        <f t="shared" si="0"/>
        <v>0.27999999999999997</v>
      </c>
      <c r="C84">
        <f>(1-'SCA Exec Summary'!$D$15)*A84+'SCA Exec Summary'!$D$15*B84</f>
        <v>0.3</v>
      </c>
      <c r="D84">
        <f t="shared" si="1"/>
        <v>16</v>
      </c>
    </row>
    <row r="85" spans="1:4" x14ac:dyDescent="0.25">
      <c r="A85">
        <v>0.32</v>
      </c>
      <c r="B85">
        <f t="shared" si="0"/>
        <v>0.3</v>
      </c>
      <c r="C85">
        <f>(1-'SCA Exec Summary'!$D$15)*A85+'SCA Exec Summary'!$D$15*B85</f>
        <v>0.32</v>
      </c>
      <c r="D85">
        <f t="shared" si="1"/>
        <v>17</v>
      </c>
    </row>
    <row r="86" spans="1:4" x14ac:dyDescent="0.25">
      <c r="A86">
        <v>0.34</v>
      </c>
      <c r="B86">
        <f t="shared" si="0"/>
        <v>0.32</v>
      </c>
      <c r="C86">
        <f>(1-'SCA Exec Summary'!$D$15)*A86+'SCA Exec Summary'!$D$15*B86</f>
        <v>0.34</v>
      </c>
      <c r="D86">
        <f t="shared" si="1"/>
        <v>18</v>
      </c>
    </row>
    <row r="87" spans="1:4" x14ac:dyDescent="0.25">
      <c r="A87">
        <v>0.36</v>
      </c>
      <c r="B87">
        <f t="shared" si="0"/>
        <v>0.33999999999999997</v>
      </c>
      <c r="C87">
        <f>(1-'SCA Exec Summary'!$D$15)*A87+'SCA Exec Summary'!$D$15*B87</f>
        <v>0.36</v>
      </c>
      <c r="D87">
        <f t="shared" si="1"/>
        <v>19</v>
      </c>
    </row>
    <row r="90" spans="1:4" x14ac:dyDescent="0.25">
      <c r="A90" t="s">
        <v>793</v>
      </c>
    </row>
    <row r="91" spans="1:4" x14ac:dyDescent="0.25">
      <c r="A91" t="s">
        <v>816</v>
      </c>
      <c r="B91" t="s">
        <v>817</v>
      </c>
      <c r="C91" t="s">
        <v>818</v>
      </c>
      <c r="D91" t="s">
        <v>819</v>
      </c>
    </row>
    <row r="92" spans="1:4" x14ac:dyDescent="0.25">
      <c r="A92">
        <v>-100</v>
      </c>
      <c r="B92">
        <v>-100</v>
      </c>
      <c r="C92">
        <f>(1-'SCA Exec Summary'!$D$15)*A92+'SCA Exec Summary'!$D$15*B92</f>
        <v>-100</v>
      </c>
      <c r="D92" t="s">
        <v>820</v>
      </c>
    </row>
    <row r="93" spans="1:4" x14ac:dyDescent="0.25">
      <c r="A93">
        <v>0.05</v>
      </c>
      <c r="B93">
        <v>0.03</v>
      </c>
      <c r="C93">
        <f>(1-'SCA Exec Summary'!$D$15)*A93+'SCA Exec Summary'!$D$15*B93</f>
        <v>0.05</v>
      </c>
      <c r="D93">
        <v>0</v>
      </c>
    </row>
    <row r="94" spans="1:4" x14ac:dyDescent="0.25">
      <c r="A94">
        <v>0.06</v>
      </c>
      <c r="B94">
        <f>A94-0.02</f>
        <v>3.9999999999999994E-2</v>
      </c>
      <c r="C94">
        <f>(1-'SCA Exec Summary'!$D$15)*A94+'SCA Exec Summary'!$D$15*B94</f>
        <v>0.06</v>
      </c>
      <c r="D94">
        <v>1</v>
      </c>
    </row>
    <row r="95" spans="1:4" x14ac:dyDescent="0.25">
      <c r="A95">
        <f>A94+0.02</f>
        <v>0.08</v>
      </c>
      <c r="B95">
        <f t="shared" ref="B95:B111" si="2">A95-0.02</f>
        <v>0.06</v>
      </c>
      <c r="C95">
        <f>(1-'SCA Exec Summary'!$D$15)*A95+'SCA Exec Summary'!$D$15*B95</f>
        <v>0.08</v>
      </c>
      <c r="D95">
        <f>D94+1</f>
        <v>2</v>
      </c>
    </row>
    <row r="96" spans="1:4" x14ac:dyDescent="0.25">
      <c r="A96">
        <f t="shared" ref="A96:A104" si="3">A95+0.02</f>
        <v>0.1</v>
      </c>
      <c r="B96">
        <f t="shared" si="2"/>
        <v>0.08</v>
      </c>
      <c r="C96">
        <f>(1-'SCA Exec Summary'!$D$15)*A96+'SCA Exec Summary'!$D$15*B96</f>
        <v>0.1</v>
      </c>
      <c r="D96">
        <f t="shared" ref="D96:D111" si="4">D95+1</f>
        <v>3</v>
      </c>
    </row>
    <row r="97" spans="1:4" x14ac:dyDescent="0.25">
      <c r="A97">
        <f t="shared" si="3"/>
        <v>0.12000000000000001</v>
      </c>
      <c r="B97">
        <f t="shared" si="2"/>
        <v>0.1</v>
      </c>
      <c r="C97">
        <f>(1-'SCA Exec Summary'!$D$15)*A97+'SCA Exec Summary'!$D$15*B97</f>
        <v>0.12000000000000001</v>
      </c>
      <c r="D97">
        <f t="shared" si="4"/>
        <v>4</v>
      </c>
    </row>
    <row r="98" spans="1:4" x14ac:dyDescent="0.25">
      <c r="A98">
        <f t="shared" si="3"/>
        <v>0.14000000000000001</v>
      </c>
      <c r="B98">
        <f t="shared" si="2"/>
        <v>0.12000000000000001</v>
      </c>
      <c r="C98">
        <f>(1-'SCA Exec Summary'!$D$15)*A98+'SCA Exec Summary'!$D$15*B98</f>
        <v>0.14000000000000001</v>
      </c>
      <c r="D98">
        <f t="shared" si="4"/>
        <v>5</v>
      </c>
    </row>
    <row r="99" spans="1:4" x14ac:dyDescent="0.25">
      <c r="A99">
        <f t="shared" si="3"/>
        <v>0.16</v>
      </c>
      <c r="B99">
        <f t="shared" si="2"/>
        <v>0.14000000000000001</v>
      </c>
      <c r="C99">
        <f>(1-'SCA Exec Summary'!$D$15)*A99+'SCA Exec Summary'!$D$15*B99</f>
        <v>0.16</v>
      </c>
      <c r="D99">
        <f t="shared" si="4"/>
        <v>6</v>
      </c>
    </row>
    <row r="100" spans="1:4" x14ac:dyDescent="0.25">
      <c r="A100">
        <f t="shared" si="3"/>
        <v>0.18</v>
      </c>
      <c r="B100">
        <f t="shared" si="2"/>
        <v>0.16</v>
      </c>
      <c r="C100">
        <f>(1-'SCA Exec Summary'!$D$15)*A100+'SCA Exec Summary'!$D$15*B100</f>
        <v>0.18</v>
      </c>
      <c r="D100">
        <f t="shared" si="4"/>
        <v>7</v>
      </c>
    </row>
    <row r="101" spans="1:4" x14ac:dyDescent="0.25">
      <c r="A101">
        <f t="shared" si="3"/>
        <v>0.19999999999999998</v>
      </c>
      <c r="B101">
        <f t="shared" si="2"/>
        <v>0.18</v>
      </c>
      <c r="C101">
        <f>(1-'SCA Exec Summary'!$D$15)*A101+'SCA Exec Summary'!$D$15*B101</f>
        <v>0.19999999999999998</v>
      </c>
      <c r="D101">
        <f t="shared" si="4"/>
        <v>8</v>
      </c>
    </row>
    <row r="102" spans="1:4" x14ac:dyDescent="0.25">
      <c r="A102">
        <f t="shared" si="3"/>
        <v>0.21999999999999997</v>
      </c>
      <c r="B102">
        <f t="shared" si="2"/>
        <v>0.19999999999999998</v>
      </c>
      <c r="C102">
        <f>(1-'SCA Exec Summary'!$D$15)*A102+'SCA Exec Summary'!$D$15*B102</f>
        <v>0.21999999999999997</v>
      </c>
      <c r="D102">
        <f t="shared" si="4"/>
        <v>9</v>
      </c>
    </row>
    <row r="103" spans="1:4" x14ac:dyDescent="0.25">
      <c r="A103">
        <f t="shared" si="3"/>
        <v>0.23999999999999996</v>
      </c>
      <c r="B103">
        <f t="shared" si="2"/>
        <v>0.21999999999999997</v>
      </c>
      <c r="C103">
        <f>(1-'SCA Exec Summary'!$D$15)*A103+'SCA Exec Summary'!$D$15*B103</f>
        <v>0.23999999999999996</v>
      </c>
      <c r="D103">
        <f t="shared" si="4"/>
        <v>10</v>
      </c>
    </row>
    <row r="104" spans="1:4" x14ac:dyDescent="0.25">
      <c r="A104">
        <f t="shared" si="3"/>
        <v>0.25999999999999995</v>
      </c>
      <c r="B104">
        <f t="shared" si="2"/>
        <v>0.23999999999999996</v>
      </c>
      <c r="C104">
        <f>(1-'SCA Exec Summary'!$D$15)*A104+'SCA Exec Summary'!$D$15*B104</f>
        <v>0.25999999999999995</v>
      </c>
      <c r="D104">
        <f t="shared" si="4"/>
        <v>11</v>
      </c>
    </row>
    <row r="105" spans="1:4" x14ac:dyDescent="0.25">
      <c r="A105">
        <f>A104+0.03</f>
        <v>0.28999999999999992</v>
      </c>
      <c r="B105">
        <f t="shared" si="2"/>
        <v>0.26999999999999991</v>
      </c>
      <c r="C105">
        <f>(1-'SCA Exec Summary'!$D$15)*A105+'SCA Exec Summary'!$D$15*B105</f>
        <v>0.28999999999999992</v>
      </c>
      <c r="D105">
        <f t="shared" si="4"/>
        <v>12</v>
      </c>
    </row>
    <row r="106" spans="1:4" x14ac:dyDescent="0.25">
      <c r="A106">
        <f t="shared" ref="A106:A108" si="5">A105+0.03</f>
        <v>0.31999999999999995</v>
      </c>
      <c r="B106">
        <f t="shared" si="2"/>
        <v>0.29999999999999993</v>
      </c>
      <c r="C106">
        <f>(1-'SCA Exec Summary'!$D$15)*A106+'SCA Exec Summary'!$D$15*B106</f>
        <v>0.31999999999999995</v>
      </c>
      <c r="D106">
        <f t="shared" si="4"/>
        <v>13</v>
      </c>
    </row>
    <row r="107" spans="1:4" x14ac:dyDescent="0.25">
      <c r="A107">
        <f t="shared" si="5"/>
        <v>0.35</v>
      </c>
      <c r="B107">
        <f t="shared" si="2"/>
        <v>0.32999999999999996</v>
      </c>
      <c r="C107">
        <f>(1-'SCA Exec Summary'!$D$15)*A107+'SCA Exec Summary'!$D$15*B107</f>
        <v>0.35</v>
      </c>
      <c r="D107">
        <f t="shared" si="4"/>
        <v>14</v>
      </c>
    </row>
    <row r="108" spans="1:4" x14ac:dyDescent="0.25">
      <c r="A108">
        <f t="shared" si="5"/>
        <v>0.38</v>
      </c>
      <c r="B108">
        <f t="shared" si="2"/>
        <v>0.36</v>
      </c>
      <c r="C108">
        <f>(1-'SCA Exec Summary'!$D$15)*A108+'SCA Exec Summary'!$D$15*B108</f>
        <v>0.38</v>
      </c>
      <c r="D108">
        <f t="shared" si="4"/>
        <v>15</v>
      </c>
    </row>
    <row r="109" spans="1:4" x14ac:dyDescent="0.25">
      <c r="A109">
        <f t="shared" ref="A109:A110" si="6">A108+0.04</f>
        <v>0.42</v>
      </c>
      <c r="B109">
        <f t="shared" si="2"/>
        <v>0.39999999999999997</v>
      </c>
      <c r="C109">
        <f>(1-'SCA Exec Summary'!$D$15)*A109+'SCA Exec Summary'!$D$15*B109</f>
        <v>0.42</v>
      </c>
      <c r="D109">
        <f t="shared" si="4"/>
        <v>16</v>
      </c>
    </row>
    <row r="110" spans="1:4" x14ac:dyDescent="0.25">
      <c r="A110">
        <f t="shared" si="6"/>
        <v>0.45999999999999996</v>
      </c>
      <c r="B110">
        <f t="shared" si="2"/>
        <v>0.43999999999999995</v>
      </c>
      <c r="C110">
        <f>(1-'SCA Exec Summary'!$D$15)*A110+'SCA Exec Summary'!$D$15*B110</f>
        <v>0.45999999999999996</v>
      </c>
      <c r="D110">
        <f t="shared" si="4"/>
        <v>17</v>
      </c>
    </row>
    <row r="111" spans="1:4" x14ac:dyDescent="0.25">
      <c r="A111">
        <f t="shared" ref="A111" si="7">A110+0.04</f>
        <v>0.49999999999999994</v>
      </c>
      <c r="B111">
        <f t="shared" si="2"/>
        <v>0.47999999999999993</v>
      </c>
      <c r="C111">
        <f>(1-'SCA Exec Summary'!$D$15)*A111+'SCA Exec Summary'!$D$15*B111</f>
        <v>0.49999999999999994</v>
      </c>
      <c r="D111">
        <f t="shared" si="4"/>
        <v>18</v>
      </c>
    </row>
    <row r="113" spans="1:1" x14ac:dyDescent="0.25">
      <c r="A113" t="s">
        <v>822</v>
      </c>
    </row>
    <row r="114" spans="1:1" x14ac:dyDescent="0.25">
      <c r="A114" t="s">
        <v>823</v>
      </c>
    </row>
    <row r="115" spans="1:1" x14ac:dyDescent="0.25">
      <c r="A115">
        <v>1</v>
      </c>
    </row>
    <row r="116" spans="1:1" x14ac:dyDescent="0.25">
      <c r="A116">
        <v>2</v>
      </c>
    </row>
    <row r="120" spans="1:1" x14ac:dyDescent="0.25">
      <c r="A120" t="s">
        <v>1004</v>
      </c>
    </row>
    <row r="121" spans="1:1" x14ac:dyDescent="0.25">
      <c r="A121" t="s">
        <v>998</v>
      </c>
    </row>
    <row r="122" spans="1:1" x14ac:dyDescent="0.25">
      <c r="A122" t="s">
        <v>1005</v>
      </c>
    </row>
    <row r="123" spans="1:1" x14ac:dyDescent="0.25">
      <c r="A123" t="s">
        <v>1006</v>
      </c>
    </row>
    <row r="125" spans="1:1" x14ac:dyDescent="0.25">
      <c r="A125" t="s">
        <v>999</v>
      </c>
    </row>
    <row r="126" spans="1:1" x14ac:dyDescent="0.25">
      <c r="A126" t="s">
        <v>125</v>
      </c>
    </row>
    <row r="127" spans="1:1" x14ac:dyDescent="0.25">
      <c r="A127" t="s">
        <v>124</v>
      </c>
    </row>
    <row r="128" spans="1:1" x14ac:dyDescent="0.25">
      <c r="A128" t="s">
        <v>916</v>
      </c>
    </row>
    <row r="130" spans="1:7" x14ac:dyDescent="0.25">
      <c r="A130" t="s">
        <v>1001</v>
      </c>
      <c r="B130">
        <f>'SCA Ext LPD Process Equ'!D32</f>
        <v>0</v>
      </c>
    </row>
    <row r="131" spans="1:7" x14ac:dyDescent="0.25">
      <c r="A131" t="str">
        <f>IF($B$130="Full Kitchen",B131,IF($B$130="Warming Kitchen",C131,"Select Kitchen Type"))</f>
        <v>Select Kitchen Type</v>
      </c>
      <c r="B131" s="368" t="s">
        <v>1015</v>
      </c>
      <c r="C131" s="368" t="s">
        <v>1013</v>
      </c>
    </row>
    <row r="132" spans="1:7" x14ac:dyDescent="0.25">
      <c r="A132" t="str">
        <f>IF($B$130="Full Kitchen",B132,IF($B$130="Warming Kitchen",C132,""))</f>
        <v/>
      </c>
      <c r="B132" s="368" t="s">
        <v>1016</v>
      </c>
      <c r="C132" s="368" t="s">
        <v>1014</v>
      </c>
    </row>
    <row r="133" spans="1:7" x14ac:dyDescent="0.25">
      <c r="A133" t="str">
        <f t="shared" ref="A133:A135" si="8">IF($B$130="Full Kitchen",B133,IF($B$130="Warming Kitchen",C133,""))</f>
        <v/>
      </c>
      <c r="B133" s="368" t="s">
        <v>1017</v>
      </c>
    </row>
    <row r="134" spans="1:7" x14ac:dyDescent="0.25">
      <c r="A134" t="str">
        <f t="shared" si="8"/>
        <v/>
      </c>
      <c r="B134" s="368" t="s">
        <v>1018</v>
      </c>
    </row>
    <row r="135" spans="1:7" x14ac:dyDescent="0.25">
      <c r="A135" t="str">
        <f t="shared" si="8"/>
        <v/>
      </c>
      <c r="B135" s="368" t="s">
        <v>1019</v>
      </c>
    </row>
    <row r="137" spans="1:7" x14ac:dyDescent="0.25">
      <c r="A137" t="s">
        <v>1003</v>
      </c>
      <c r="B137">
        <f>'SCA Ext LPD Process Equ'!D33</f>
        <v>0</v>
      </c>
      <c r="C137">
        <f>'SCA Ext LPD Process Equ'!D32</f>
        <v>0</v>
      </c>
    </row>
    <row r="138" spans="1:7" x14ac:dyDescent="0.25">
      <c r="A138" t="str">
        <f>IF($C$137="Warming Kitchen","No Source Modeled",IF(B$137="Gas",B138,IF($B$137="Electric",C138,"Select Fuel Type")))</f>
        <v>Select Fuel Type</v>
      </c>
      <c r="B138" t="s">
        <v>1007</v>
      </c>
      <c r="C138" t="s">
        <v>1010</v>
      </c>
    </row>
    <row r="139" spans="1:7" x14ac:dyDescent="0.25">
      <c r="A139" t="str">
        <f>IF($C$137="Warming Kitchen","",IF(B$137="Gas",B139,IF($B$137="Electric",C139,"")))</f>
        <v/>
      </c>
      <c r="B139" t="s">
        <v>1008</v>
      </c>
      <c r="C139" t="s">
        <v>1011</v>
      </c>
    </row>
    <row r="140" spans="1:7" x14ac:dyDescent="0.25">
      <c r="A140" t="str">
        <f>IF($C$137="Warming Kitchen","",IF(B$137="Gas",B140,IF($B$137="Electric",C140,"")))</f>
        <v/>
      </c>
      <c r="B140" t="s">
        <v>1009</v>
      </c>
      <c r="C140" t="s">
        <v>1012</v>
      </c>
    </row>
    <row r="143" spans="1:7" x14ac:dyDescent="0.25">
      <c r="A143" t="s">
        <v>1020</v>
      </c>
    </row>
    <row r="144" spans="1:7" x14ac:dyDescent="0.25">
      <c r="A144" t="s">
        <v>1021</v>
      </c>
      <c r="B144" t="s">
        <v>1022</v>
      </c>
      <c r="C144" t="s">
        <v>1023</v>
      </c>
      <c r="D144" t="s">
        <v>1024</v>
      </c>
      <c r="E144" t="s">
        <v>1025</v>
      </c>
      <c r="F144" t="s">
        <v>1027</v>
      </c>
      <c r="G144" t="s">
        <v>1026</v>
      </c>
    </row>
    <row r="145" spans="1:7" x14ac:dyDescent="0.25">
      <c r="A145">
        <v>0</v>
      </c>
      <c r="B145" t="s">
        <v>957</v>
      </c>
      <c r="C145" s="368" t="s">
        <v>957</v>
      </c>
      <c r="D145" t="s">
        <v>957</v>
      </c>
      <c r="E145" t="s">
        <v>957</v>
      </c>
      <c r="F145" t="s">
        <v>957</v>
      </c>
      <c r="G145" t="s">
        <v>957</v>
      </c>
    </row>
    <row r="146" spans="1:7" x14ac:dyDescent="0.25">
      <c r="A146">
        <v>1</v>
      </c>
      <c r="B146">
        <v>35.700000000000003</v>
      </c>
      <c r="C146" s="368" t="s">
        <v>1013</v>
      </c>
    </row>
    <row r="147" spans="1:7" x14ac:dyDescent="0.25">
      <c r="A147">
        <v>301</v>
      </c>
      <c r="B147">
        <v>40.9</v>
      </c>
      <c r="C147" s="368" t="s">
        <v>1014</v>
      </c>
    </row>
    <row r="148" spans="1:7" x14ac:dyDescent="0.25">
      <c r="A148">
        <v>401</v>
      </c>
      <c r="B148">
        <v>31.1</v>
      </c>
      <c r="C148" s="368" t="s">
        <v>1015</v>
      </c>
      <c r="D148">
        <v>310000</v>
      </c>
      <c r="E148">
        <v>249200</v>
      </c>
      <c r="F148" t="s">
        <v>1007</v>
      </c>
      <c r="G148" t="s">
        <v>1010</v>
      </c>
    </row>
    <row r="149" spans="1:7" x14ac:dyDescent="0.25">
      <c r="A149">
        <v>501</v>
      </c>
      <c r="B149">
        <v>46.6</v>
      </c>
      <c r="C149" s="368" t="s">
        <v>1016</v>
      </c>
      <c r="D149">
        <v>408000</v>
      </c>
      <c r="E149">
        <v>287300</v>
      </c>
      <c r="F149" t="s">
        <v>1008</v>
      </c>
      <c r="G149" t="s">
        <v>1011</v>
      </c>
    </row>
    <row r="150" spans="1:7" x14ac:dyDescent="0.25">
      <c r="A150">
        <v>701</v>
      </c>
      <c r="B150">
        <v>50.8</v>
      </c>
      <c r="C150" s="368" t="s">
        <v>1017</v>
      </c>
      <c r="D150">
        <v>408000</v>
      </c>
      <c r="E150">
        <v>287300</v>
      </c>
      <c r="F150" t="s">
        <v>1008</v>
      </c>
      <c r="G150" t="s">
        <v>1011</v>
      </c>
    </row>
    <row r="151" spans="1:7" x14ac:dyDescent="0.25">
      <c r="A151">
        <v>901</v>
      </c>
      <c r="B151">
        <v>54.6</v>
      </c>
      <c r="C151" s="368" t="s">
        <v>1018</v>
      </c>
      <c r="D151">
        <v>408000</v>
      </c>
      <c r="E151">
        <v>287300</v>
      </c>
      <c r="F151" t="s">
        <v>1008</v>
      </c>
      <c r="G151" t="s">
        <v>1011</v>
      </c>
    </row>
    <row r="152" spans="1:7" x14ac:dyDescent="0.25">
      <c r="A152">
        <v>1000</v>
      </c>
      <c r="B152">
        <v>65</v>
      </c>
      <c r="C152" s="368" t="s">
        <v>1019</v>
      </c>
      <c r="D152">
        <v>506000</v>
      </c>
      <c r="E152">
        <v>325400</v>
      </c>
      <c r="F152" t="s">
        <v>1009</v>
      </c>
      <c r="G152" t="s">
        <v>1012</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B9"/>
  <sheetViews>
    <sheetView view="pageLayout" zoomScaleNormal="100" workbookViewId="0">
      <selection activeCell="A27" sqref="A27"/>
    </sheetView>
  </sheetViews>
  <sheetFormatPr defaultRowHeight="15" x14ac:dyDescent="0.25"/>
  <cols>
    <col min="1" max="1" width="27.7109375" customWidth="1"/>
    <col min="2" max="2" width="3" customWidth="1"/>
  </cols>
  <sheetData>
    <row r="1" spans="1:2" x14ac:dyDescent="0.25">
      <c r="A1" s="69"/>
    </row>
    <row r="2" spans="1:2" x14ac:dyDescent="0.25">
      <c r="A2" s="69"/>
    </row>
    <row r="4" spans="1:2" x14ac:dyDescent="0.25">
      <c r="A4" s="71" t="s">
        <v>433</v>
      </c>
      <c r="B4" s="70"/>
    </row>
    <row r="5" spans="1:2" x14ac:dyDescent="0.25">
      <c r="A5" s="72" t="s">
        <v>434</v>
      </c>
    </row>
    <row r="6" spans="1:2" x14ac:dyDescent="0.25">
      <c r="A6" s="73" t="s">
        <v>435</v>
      </c>
    </row>
    <row r="7" spans="1:2" x14ac:dyDescent="0.25">
      <c r="A7" s="121" t="s">
        <v>692</v>
      </c>
    </row>
    <row r="8" spans="1:2" x14ac:dyDescent="0.25">
      <c r="A8" s="74" t="s">
        <v>436</v>
      </c>
    </row>
    <row r="9" spans="1:2" x14ac:dyDescent="0.25">
      <c r="A9" s="185" t="s">
        <v>437</v>
      </c>
    </row>
  </sheetData>
  <sheetProtection password="C5B9" sheet="1" objects="1" scenarios="1"/>
  <pageMargins left="0.7" right="0.7" top="0.75" bottom="0.75" header="0.3" footer="0.3"/>
  <pageSetup orientation="portrait" verticalDpi="1200" r:id="rId1"/>
  <headerFooter>
    <oddHeader>&amp;L&amp;G&amp;C&amp;G</oddHeader>
    <oddFooter>&amp;RNovember  2016</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C000"/>
  </sheetPr>
  <dimension ref="A4:I32"/>
  <sheetViews>
    <sheetView view="pageLayout" zoomScaleNormal="100" zoomScaleSheetLayoutView="100" workbookViewId="0">
      <selection activeCell="F24" sqref="F24"/>
    </sheetView>
  </sheetViews>
  <sheetFormatPr defaultRowHeight="15" x14ac:dyDescent="0.25"/>
  <cols>
    <col min="1" max="1" width="4" customWidth="1"/>
    <col min="2" max="2" width="24.7109375" customWidth="1"/>
    <col min="3" max="3" width="11" customWidth="1"/>
    <col min="9" max="9" width="20.140625" customWidth="1"/>
  </cols>
  <sheetData>
    <row r="4" spans="1:9" x14ac:dyDescent="0.25">
      <c r="A4" t="s">
        <v>748</v>
      </c>
    </row>
    <row r="5" spans="1:9" x14ac:dyDescent="0.25">
      <c r="A5" s="137"/>
    </row>
    <row r="7" spans="1:9" ht="15.75" thickBot="1" x14ac:dyDescent="0.3">
      <c r="A7" s="177" t="s">
        <v>714</v>
      </c>
    </row>
    <row r="8" spans="1:9" ht="15.75" thickBot="1" x14ac:dyDescent="0.3">
      <c r="A8" s="178">
        <v>1</v>
      </c>
      <c r="B8" s="483" t="s">
        <v>715</v>
      </c>
      <c r="C8" s="484"/>
      <c r="D8" s="484"/>
      <c r="E8" s="484"/>
      <c r="F8" s="484"/>
      <c r="G8" s="484"/>
      <c r="H8" s="485"/>
    </row>
    <row r="9" spans="1:9" ht="15" customHeight="1" thickBot="1" x14ac:dyDescent="0.3">
      <c r="A9" s="492"/>
      <c r="B9" s="180" t="s">
        <v>716</v>
      </c>
      <c r="C9" s="486" t="s">
        <v>717</v>
      </c>
      <c r="D9" s="487"/>
      <c r="E9" s="487"/>
      <c r="F9" s="487"/>
      <c r="G9" s="487"/>
      <c r="H9" s="488"/>
    </row>
    <row r="10" spans="1:9" ht="15.75" thickBot="1" x14ac:dyDescent="0.3">
      <c r="A10" s="493"/>
      <c r="B10" s="180" t="s">
        <v>718</v>
      </c>
      <c r="C10" s="180" t="s">
        <v>719</v>
      </c>
      <c r="D10" s="180" t="s">
        <v>720</v>
      </c>
      <c r="E10" s="497" t="s">
        <v>721</v>
      </c>
      <c r="F10" s="498"/>
      <c r="G10" s="486" t="s">
        <v>722</v>
      </c>
      <c r="H10" s="488"/>
    </row>
    <row r="11" spans="1:9" ht="15" customHeight="1" thickBot="1" x14ac:dyDescent="0.3">
      <c r="A11" s="493"/>
      <c r="B11" s="494" t="s">
        <v>723</v>
      </c>
      <c r="C11" s="496"/>
      <c r="D11" s="496"/>
      <c r="E11" s="495"/>
      <c r="F11" s="486" t="s">
        <v>724</v>
      </c>
      <c r="G11" s="487"/>
      <c r="H11" s="488"/>
    </row>
    <row r="12" spans="1:9" x14ac:dyDescent="0.25">
      <c r="A12" s="179"/>
      <c r="B12" s="179"/>
      <c r="C12" s="179"/>
      <c r="D12" s="179"/>
      <c r="E12" s="179"/>
      <c r="F12" s="179"/>
      <c r="G12" s="179"/>
    </row>
    <row r="13" spans="1:9" x14ac:dyDescent="0.25">
      <c r="A13" s="181"/>
    </row>
    <row r="14" spans="1:9" ht="15.75" thickBot="1" x14ac:dyDescent="0.3">
      <c r="A14" s="181"/>
    </row>
    <row r="15" spans="1:9" ht="15.75" thickBot="1" x14ac:dyDescent="0.3">
      <c r="A15" s="178">
        <v>2</v>
      </c>
      <c r="B15" s="489" t="s">
        <v>725</v>
      </c>
      <c r="C15" s="490"/>
      <c r="D15" s="490"/>
      <c r="E15" s="490"/>
      <c r="F15" s="490"/>
      <c r="G15" s="490"/>
      <c r="H15" s="490"/>
      <c r="I15" s="491"/>
    </row>
    <row r="16" spans="1:9" ht="15.75" thickBot="1" x14ac:dyDescent="0.3">
      <c r="A16" s="492"/>
      <c r="B16" s="494" t="s">
        <v>726</v>
      </c>
      <c r="C16" s="495"/>
      <c r="D16" s="494" t="s">
        <v>727</v>
      </c>
      <c r="E16" s="496"/>
      <c r="F16" s="496"/>
      <c r="G16" s="496"/>
      <c r="H16" s="495"/>
      <c r="I16" s="180" t="s">
        <v>728</v>
      </c>
    </row>
    <row r="17" spans="1:9" ht="15.75" thickBot="1" x14ac:dyDescent="0.3">
      <c r="A17" s="493"/>
      <c r="B17" s="494" t="s">
        <v>729</v>
      </c>
      <c r="C17" s="496"/>
      <c r="D17" s="496"/>
      <c r="E17" s="495"/>
      <c r="F17" s="494" t="s">
        <v>730</v>
      </c>
      <c r="G17" s="496"/>
      <c r="H17" s="496"/>
      <c r="I17" s="495"/>
    </row>
    <row r="18" spans="1:9" ht="15.75" thickBot="1" x14ac:dyDescent="0.3">
      <c r="A18" s="493"/>
      <c r="B18" s="494" t="s">
        <v>731</v>
      </c>
      <c r="C18" s="496"/>
      <c r="D18" s="496"/>
      <c r="E18" s="495"/>
      <c r="F18" s="494" t="s">
        <v>732</v>
      </c>
      <c r="G18" s="496"/>
      <c r="H18" s="496"/>
      <c r="I18" s="495"/>
    </row>
    <row r="19" spans="1:9" ht="15.75" thickBot="1" x14ac:dyDescent="0.3">
      <c r="A19" s="493"/>
      <c r="B19" s="180" t="s">
        <v>733</v>
      </c>
      <c r="C19" s="494" t="s">
        <v>734</v>
      </c>
      <c r="D19" s="495"/>
      <c r="E19" s="494" t="s">
        <v>735</v>
      </c>
      <c r="F19" s="496"/>
      <c r="G19" s="495"/>
      <c r="H19" s="494" t="s">
        <v>736</v>
      </c>
      <c r="I19" s="495"/>
    </row>
    <row r="20" spans="1:9" ht="15.75" thickBot="1" x14ac:dyDescent="0.3">
      <c r="A20" s="493"/>
      <c r="B20" s="494" t="s">
        <v>737</v>
      </c>
      <c r="C20" s="496"/>
      <c r="D20" s="496"/>
      <c r="E20" s="496"/>
      <c r="F20" s="495"/>
      <c r="G20" s="494" t="s">
        <v>738</v>
      </c>
      <c r="H20" s="496"/>
      <c r="I20" s="495"/>
    </row>
    <row r="21" spans="1:9" x14ac:dyDescent="0.25">
      <c r="A21" s="179"/>
      <c r="B21" s="179"/>
      <c r="C21" s="179"/>
      <c r="D21" s="179"/>
      <c r="E21" s="179"/>
      <c r="F21" s="179"/>
      <c r="G21" s="179"/>
      <c r="H21" s="179"/>
      <c r="I21" s="179"/>
    </row>
    <row r="22" spans="1:9" x14ac:dyDescent="0.25">
      <c r="A22" s="181"/>
    </row>
    <row r="23" spans="1:9" ht="15.75" thickBot="1" x14ac:dyDescent="0.3">
      <c r="A23" s="181"/>
    </row>
    <row r="24" spans="1:9" ht="27" customHeight="1" thickBot="1" x14ac:dyDescent="0.3">
      <c r="A24" s="178">
        <v>3</v>
      </c>
      <c r="B24" s="407" t="s">
        <v>739</v>
      </c>
      <c r="C24" s="408"/>
      <c r="D24" s="409"/>
    </row>
    <row r="25" spans="1:9" x14ac:dyDescent="0.25">
      <c r="B25" s="184" t="s">
        <v>743</v>
      </c>
      <c r="C25" s="501"/>
      <c r="D25" s="502"/>
      <c r="F25" s="181"/>
    </row>
    <row r="26" spans="1:9" x14ac:dyDescent="0.25">
      <c r="B26" s="182" t="s">
        <v>740</v>
      </c>
      <c r="C26" s="503"/>
      <c r="D26" s="504"/>
    </row>
    <row r="27" spans="1:9" x14ac:dyDescent="0.25">
      <c r="B27" s="182" t="s">
        <v>745</v>
      </c>
      <c r="C27" s="503"/>
      <c r="D27" s="504"/>
    </row>
    <row r="28" spans="1:9" x14ac:dyDescent="0.25">
      <c r="B28" s="182" t="s">
        <v>744</v>
      </c>
      <c r="C28" s="503"/>
      <c r="D28" s="504"/>
    </row>
    <row r="29" spans="1:9" x14ac:dyDescent="0.25">
      <c r="B29" s="182" t="s">
        <v>746</v>
      </c>
      <c r="C29" s="503"/>
      <c r="D29" s="504"/>
    </row>
    <row r="30" spans="1:9" x14ac:dyDescent="0.25">
      <c r="B30" s="182" t="s">
        <v>741</v>
      </c>
      <c r="C30" s="503"/>
      <c r="D30" s="504"/>
    </row>
    <row r="31" spans="1:9" x14ac:dyDescent="0.25">
      <c r="B31" s="182" t="s">
        <v>747</v>
      </c>
      <c r="C31" s="503"/>
      <c r="D31" s="504"/>
    </row>
    <row r="32" spans="1:9" ht="15.75" thickBot="1" x14ac:dyDescent="0.3">
      <c r="B32" s="183" t="s">
        <v>742</v>
      </c>
      <c r="C32" s="499"/>
      <c r="D32" s="500"/>
    </row>
  </sheetData>
  <mergeCells count="29">
    <mergeCell ref="C32:D32"/>
    <mergeCell ref="C25:D25"/>
    <mergeCell ref="C26:D26"/>
    <mergeCell ref="C27:D27"/>
    <mergeCell ref="C28:D28"/>
    <mergeCell ref="C29:D29"/>
    <mergeCell ref="C30:D30"/>
    <mergeCell ref="C31:D31"/>
    <mergeCell ref="B24:D24"/>
    <mergeCell ref="H19:I19"/>
    <mergeCell ref="B20:F20"/>
    <mergeCell ref="G20:I20"/>
    <mergeCell ref="G10:H10"/>
    <mergeCell ref="F11:H11"/>
    <mergeCell ref="B8:H8"/>
    <mergeCell ref="C9:H9"/>
    <mergeCell ref="B15:I15"/>
    <mergeCell ref="A16:A20"/>
    <mergeCell ref="B16:C16"/>
    <mergeCell ref="D16:H16"/>
    <mergeCell ref="B17:E17"/>
    <mergeCell ref="F17:I17"/>
    <mergeCell ref="B18:E18"/>
    <mergeCell ref="F18:I18"/>
    <mergeCell ref="C19:D19"/>
    <mergeCell ref="E19:G19"/>
    <mergeCell ref="A9:A11"/>
    <mergeCell ref="E10:F10"/>
    <mergeCell ref="B11:E11"/>
  </mergeCells>
  <pageMargins left="0.7" right="0.7" top="0.75" bottom="0.75" header="0.3" footer="0.3"/>
  <pageSetup scale="78" orientation="portrait" r:id="rId1"/>
  <headerFooter>
    <oddHeader>&amp;L&amp;G&amp;C&amp;G</oddHeader>
    <oddFooter>&amp;RNovember 2016</oddFooter>
  </headerFooter>
  <colBreaks count="1" manualBreakCount="1">
    <brk id="9" min="2" max="57" man="1"/>
  </colBreaks>
  <drawing r:id="rId2"/>
  <legacyDrawingHF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3:I22"/>
  <sheetViews>
    <sheetView view="pageLayout" topLeftCell="A4" zoomScaleNormal="115" workbookViewId="0">
      <selection activeCell="C17" sqref="C17"/>
    </sheetView>
  </sheetViews>
  <sheetFormatPr defaultRowHeight="15" x14ac:dyDescent="0.25"/>
  <cols>
    <col min="1" max="1" width="2.85546875" customWidth="1"/>
    <col min="2" max="2" width="10.85546875" customWidth="1"/>
    <col min="3" max="3" width="13.7109375" customWidth="1"/>
    <col min="4" max="4" width="12.42578125" customWidth="1"/>
    <col min="5" max="5" width="10.5703125" customWidth="1"/>
    <col min="6" max="6" width="8.5703125" customWidth="1"/>
    <col min="7" max="7" width="10" customWidth="1"/>
    <col min="8" max="8" width="11.85546875" customWidth="1"/>
    <col min="9" max="9" width="12.7109375" customWidth="1"/>
    <col min="11" max="11" width="2.7109375" customWidth="1"/>
    <col min="12" max="12" width="13.5703125" customWidth="1"/>
    <col min="13" max="13" width="11.42578125" customWidth="1"/>
    <col min="14" max="14" width="12.28515625" customWidth="1"/>
    <col min="17" max="17" width="17.28515625" bestFit="1" customWidth="1"/>
    <col min="18" max="18" width="5" bestFit="1" customWidth="1"/>
  </cols>
  <sheetData>
    <row r="3" spans="1:9" ht="14.45" customHeight="1" x14ac:dyDescent="0.25">
      <c r="A3" s="78">
        <v>3</v>
      </c>
      <c r="B3" s="505" t="s">
        <v>557</v>
      </c>
      <c r="C3" s="505"/>
      <c r="D3" s="505"/>
    </row>
    <row r="4" spans="1:9" ht="19.5" customHeight="1" x14ac:dyDescent="0.25">
      <c r="A4" s="78"/>
      <c r="B4" s="133" t="s">
        <v>558</v>
      </c>
      <c r="C4" s="134"/>
      <c r="D4" s="135"/>
    </row>
    <row r="6" spans="1:9" x14ac:dyDescent="0.25">
      <c r="A6" s="68">
        <v>4</v>
      </c>
      <c r="B6" s="505" t="s">
        <v>119</v>
      </c>
      <c r="C6" s="505"/>
      <c r="D6" s="505"/>
      <c r="E6" s="505"/>
      <c r="F6" s="505"/>
      <c r="G6" s="505"/>
      <c r="H6" s="505"/>
      <c r="I6" s="505"/>
    </row>
    <row r="7" spans="1:9" s="2" customFormat="1" ht="45" customHeight="1" x14ac:dyDescent="0.2">
      <c r="A7" s="510" t="s">
        <v>120</v>
      </c>
      <c r="B7" s="510"/>
      <c r="C7" s="66" t="s">
        <v>346</v>
      </c>
      <c r="D7" s="67" t="s">
        <v>121</v>
      </c>
      <c r="E7" s="67" t="s">
        <v>347</v>
      </c>
      <c r="F7" s="67" t="s">
        <v>121</v>
      </c>
      <c r="G7" s="67" t="s">
        <v>348</v>
      </c>
      <c r="H7" s="67" t="s">
        <v>21</v>
      </c>
      <c r="I7" s="67" t="s">
        <v>123</v>
      </c>
    </row>
    <row r="8" spans="1:9" s="2" customFormat="1" ht="19.149999999999999" customHeight="1" x14ac:dyDescent="0.2">
      <c r="A8" s="510" t="s">
        <v>124</v>
      </c>
      <c r="B8" s="510"/>
      <c r="C8" s="186" t="s">
        <v>989</v>
      </c>
      <c r="D8" s="187"/>
      <c r="E8" s="90"/>
      <c r="F8" s="187"/>
      <c r="G8" s="188"/>
      <c r="H8" s="189"/>
      <c r="I8" s="186" t="s">
        <v>685</v>
      </c>
    </row>
    <row r="9" spans="1:9" s="2" customFormat="1" ht="15" customHeight="1" x14ac:dyDescent="0.2">
      <c r="A9" s="510" t="s">
        <v>125</v>
      </c>
      <c r="B9" s="510"/>
      <c r="C9" s="186" t="s">
        <v>990</v>
      </c>
      <c r="D9" s="187"/>
      <c r="E9" s="90"/>
      <c r="F9" s="187"/>
      <c r="G9" s="188"/>
      <c r="H9" s="189"/>
      <c r="I9" s="186" t="s">
        <v>685</v>
      </c>
    </row>
    <row r="10" spans="1:9" s="2" customFormat="1" ht="18.600000000000001" customHeight="1" x14ac:dyDescent="0.2">
      <c r="A10" s="510" t="s">
        <v>126</v>
      </c>
      <c r="B10" s="510"/>
      <c r="C10" s="186"/>
      <c r="D10" s="186"/>
      <c r="E10" s="90" t="str">
        <f>'4a. Avg. Rotations'!K24</f>
        <v/>
      </c>
      <c r="F10" s="186"/>
      <c r="G10" s="188"/>
      <c r="H10" s="189"/>
      <c r="I10" s="186"/>
    </row>
    <row r="11" spans="1:9" s="2" customFormat="1" ht="15" customHeight="1" x14ac:dyDescent="0.2">
      <c r="A11" s="510" t="s">
        <v>127</v>
      </c>
      <c r="B11" s="510"/>
      <c r="C11" s="186"/>
      <c r="D11" s="186"/>
      <c r="E11" s="90" t="str">
        <f>'4a. Avg. Rotations'!K25</f>
        <v/>
      </c>
      <c r="F11" s="186"/>
      <c r="G11" s="188"/>
      <c r="H11" s="112" t="s">
        <v>683</v>
      </c>
      <c r="I11" s="112" t="s">
        <v>684</v>
      </c>
    </row>
    <row r="12" spans="1:9" s="2" customFormat="1" ht="15" customHeight="1" x14ac:dyDescent="0.2">
      <c r="A12" s="510" t="s">
        <v>128</v>
      </c>
      <c r="B12" s="510"/>
      <c r="C12" s="67"/>
      <c r="D12" s="112"/>
      <c r="E12" s="90" t="str">
        <f>IF(SUM(E8:E11)=0,"",SUM(E8:E11))</f>
        <v/>
      </c>
      <c r="F12" s="112"/>
      <c r="G12" s="90" t="str">
        <f>IF(SUM(G8:G11)=0,"",SUM(G8:G11))</f>
        <v/>
      </c>
      <c r="H12" s="90" t="str">
        <f>IF(E12="","",E12-G12)</f>
        <v/>
      </c>
      <c r="I12" s="90" t="str">
        <f>IF(E12="","",IF(B4="Section 11 ECB",IF(G12&lt;E12,"COMPLIES","DOES NOT COMPLY"),IF(D21&lt;C21,"COMPLIES","DOES NOT COMPLY")))</f>
        <v/>
      </c>
    </row>
    <row r="13" spans="1:9" x14ac:dyDescent="0.25">
      <c r="E13" s="113"/>
    </row>
    <row r="14" spans="1:9" x14ac:dyDescent="0.25">
      <c r="G14" s="84"/>
    </row>
    <row r="15" spans="1:9" ht="20.45" customHeight="1" x14ac:dyDescent="0.25">
      <c r="A15" s="76" t="s">
        <v>441</v>
      </c>
      <c r="B15" s="509" t="s">
        <v>440</v>
      </c>
      <c r="C15" s="509"/>
      <c r="D15" s="509"/>
    </row>
    <row r="16" spans="1:9" ht="22.15" customHeight="1" x14ac:dyDescent="0.25">
      <c r="A16" s="76"/>
      <c r="B16" s="76"/>
      <c r="C16" s="76" t="s">
        <v>447</v>
      </c>
      <c r="D16" s="76" t="s">
        <v>445</v>
      </c>
    </row>
    <row r="17" spans="1:4" ht="24.6" customHeight="1" x14ac:dyDescent="0.25">
      <c r="A17" s="507" t="s">
        <v>444</v>
      </c>
      <c r="B17" s="508"/>
      <c r="C17" s="89">
        <f>IF(D17="","",VLOOKUP(D17,Lists!M11:N19,2))</f>
        <v>0.49</v>
      </c>
      <c r="D17" s="136" t="s">
        <v>451</v>
      </c>
    </row>
    <row r="18" spans="1:4" ht="21.6" customHeight="1" x14ac:dyDescent="0.25">
      <c r="A18" s="506" t="s">
        <v>443</v>
      </c>
      <c r="B18" s="506"/>
      <c r="C18" s="90" t="str">
        <f>IF(B4="Section 11 ECB","",IF(C20="","",C20-C19))</f>
        <v/>
      </c>
      <c r="D18" s="90" t="str">
        <f>IF(B4="Section 11 ECB","",IF(D20="","",D20-D19))</f>
        <v/>
      </c>
    </row>
    <row r="19" spans="1:4" ht="20.45" customHeight="1" x14ac:dyDescent="0.25">
      <c r="A19" s="506" t="s">
        <v>442</v>
      </c>
      <c r="B19" s="506"/>
      <c r="C19" s="190">
        <f>('5. Usage Summary'!C7)*$F$8+('5. Usage Summary'!D7)*$F$9</f>
        <v>0</v>
      </c>
      <c r="D19" s="190">
        <f>('5. Usage Summary'!C7)*$F$8+('5. Usage Summary'!D7)*$F$9</f>
        <v>0</v>
      </c>
    </row>
    <row r="20" spans="1:4" ht="20.45" customHeight="1" x14ac:dyDescent="0.25">
      <c r="A20" s="506" t="s">
        <v>446</v>
      </c>
      <c r="B20" s="506"/>
      <c r="C20" s="90" t="str">
        <f>IF(B4="Section 11 ECB","",E12)</f>
        <v/>
      </c>
      <c r="D20" s="90" t="str">
        <f>IF(B4="Section 11 ECB","",G12)</f>
        <v/>
      </c>
    </row>
    <row r="21" spans="1:4" ht="26.45" customHeight="1" x14ac:dyDescent="0.25">
      <c r="A21" s="506" t="s">
        <v>439</v>
      </c>
      <c r="B21" s="506"/>
      <c r="C21" s="91" t="str">
        <f>IF(C20="","",(C19+(C18*C17))/C20)</f>
        <v/>
      </c>
      <c r="D21" s="91" t="str">
        <f>IF(D20="","",D20/C20)</f>
        <v/>
      </c>
    </row>
    <row r="22" spans="1:4" x14ac:dyDescent="0.25">
      <c r="C22" s="3"/>
    </row>
  </sheetData>
  <sortState ref="Q13:R21">
    <sortCondition ref="Q13"/>
  </sortState>
  <mergeCells count="14">
    <mergeCell ref="B3:D3"/>
    <mergeCell ref="A18:B18"/>
    <mergeCell ref="A19:B19"/>
    <mergeCell ref="A21:B21"/>
    <mergeCell ref="A20:B20"/>
    <mergeCell ref="A17:B17"/>
    <mergeCell ref="B15:D15"/>
    <mergeCell ref="A11:B11"/>
    <mergeCell ref="A12:B12"/>
    <mergeCell ref="B6:I6"/>
    <mergeCell ref="A7:B7"/>
    <mergeCell ref="A8:B8"/>
    <mergeCell ref="A9:B9"/>
    <mergeCell ref="A10:B10"/>
  </mergeCells>
  <pageMargins left="0.7" right="0.7" top="0.75" bottom="0.75" header="0.3" footer="0.3"/>
  <pageSetup scale="96" orientation="portrait" r:id="rId1"/>
  <headerFooter>
    <oddHeader>&amp;L&amp;G&amp;C&amp;G</oddHeader>
    <oddFooter>&amp;RNovember 2016</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Lists!$N$4:$N$5</xm:f>
          </x14:formula1>
          <xm:sqref>B4</xm:sqref>
        </x14:dataValidation>
        <x14:dataValidation type="list" allowBlank="1" showInputMessage="1" showErrorMessage="1">
          <x14:formula1>
            <xm:f>Lists!$M$11:$M$19</xm:f>
          </x14:formula1>
          <xm:sqref>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2:M27"/>
  <sheetViews>
    <sheetView view="pageLayout" topLeftCell="A4" zoomScaleNormal="100" workbookViewId="0">
      <selection activeCell="C24" sqref="C24:D24"/>
    </sheetView>
  </sheetViews>
  <sheetFormatPr defaultRowHeight="15" x14ac:dyDescent="0.25"/>
  <cols>
    <col min="1" max="1" width="2.5703125" customWidth="1"/>
  </cols>
  <sheetData>
    <row r="2" spans="1:13" x14ac:dyDescent="0.25">
      <c r="A2" s="386" t="s">
        <v>713</v>
      </c>
      <c r="B2" s="386"/>
      <c r="C2" s="386"/>
      <c r="D2" s="386"/>
      <c r="E2" s="386"/>
      <c r="F2" s="386"/>
      <c r="G2" s="386"/>
      <c r="H2" s="386"/>
      <c r="I2" s="386"/>
      <c r="J2" s="386"/>
      <c r="K2" s="386"/>
      <c r="L2" s="386"/>
      <c r="M2" s="386"/>
    </row>
    <row r="3" spans="1:13" ht="33.6" customHeight="1" x14ac:dyDescent="0.25">
      <c r="A3" s="387"/>
      <c r="B3" s="387"/>
      <c r="C3" s="387"/>
      <c r="D3" s="387"/>
      <c r="E3" s="387"/>
      <c r="F3" s="387"/>
      <c r="G3" s="387"/>
      <c r="H3" s="387"/>
      <c r="I3" s="387"/>
      <c r="J3" s="387"/>
      <c r="K3" s="387"/>
      <c r="L3" s="387"/>
      <c r="M3" s="387"/>
    </row>
    <row r="4" spans="1:13" ht="14.45" customHeight="1" x14ac:dyDescent="0.25">
      <c r="A4" s="115" t="s">
        <v>702</v>
      </c>
      <c r="B4" s="388" t="s">
        <v>703</v>
      </c>
      <c r="C4" s="389"/>
      <c r="D4" s="389"/>
      <c r="E4" s="389"/>
      <c r="F4" s="389"/>
      <c r="G4" s="389"/>
      <c r="H4" s="389"/>
      <c r="I4" s="389"/>
      <c r="J4" s="389"/>
      <c r="K4" s="389"/>
      <c r="L4" s="389"/>
      <c r="M4" s="511"/>
    </row>
    <row r="5" spans="1:13" ht="14.45" customHeight="1" x14ac:dyDescent="0.25">
      <c r="A5" s="390" t="s">
        <v>130</v>
      </c>
      <c r="B5" s="391"/>
      <c r="C5" s="391"/>
      <c r="D5" s="391"/>
      <c r="E5" s="391"/>
      <c r="F5" s="391"/>
      <c r="G5" s="391"/>
      <c r="H5" s="391"/>
      <c r="I5" s="391"/>
      <c r="J5" s="391"/>
      <c r="K5" s="391"/>
      <c r="L5" s="391"/>
      <c r="M5" s="434"/>
    </row>
    <row r="6" spans="1:13" ht="45" x14ac:dyDescent="0.25">
      <c r="A6" s="392"/>
      <c r="B6" s="392"/>
      <c r="C6" s="393" t="s">
        <v>704</v>
      </c>
      <c r="D6" s="394"/>
      <c r="E6" s="393" t="s">
        <v>705</v>
      </c>
      <c r="F6" s="394"/>
      <c r="G6" s="393" t="s">
        <v>706</v>
      </c>
      <c r="H6" s="394"/>
      <c r="I6" s="393" t="s">
        <v>707</v>
      </c>
      <c r="J6" s="394"/>
      <c r="K6" s="393" t="s">
        <v>708</v>
      </c>
      <c r="L6" s="394"/>
      <c r="M6" s="114" t="s">
        <v>133</v>
      </c>
    </row>
    <row r="7" spans="1:13" ht="14.45" customHeight="1" x14ac:dyDescent="0.25">
      <c r="A7" s="393" t="s">
        <v>709</v>
      </c>
      <c r="B7" s="396"/>
      <c r="C7" s="396"/>
      <c r="D7" s="396"/>
      <c r="E7" s="396"/>
      <c r="F7" s="396"/>
      <c r="G7" s="396"/>
      <c r="H7" s="396"/>
      <c r="I7" s="396"/>
      <c r="J7" s="396"/>
      <c r="K7" s="396"/>
      <c r="L7" s="396"/>
      <c r="M7" s="394"/>
    </row>
    <row r="8" spans="1:13" x14ac:dyDescent="0.25">
      <c r="A8" s="126"/>
      <c r="B8" s="127"/>
      <c r="C8" s="125" t="s">
        <v>710</v>
      </c>
      <c r="D8" s="125" t="s">
        <v>711</v>
      </c>
      <c r="E8" s="125" t="s">
        <v>710</v>
      </c>
      <c r="F8" s="125" t="s">
        <v>711</v>
      </c>
      <c r="G8" s="125" t="s">
        <v>710</v>
      </c>
      <c r="H8" s="125" t="s">
        <v>711</v>
      </c>
      <c r="I8" s="125" t="s">
        <v>710</v>
      </c>
      <c r="J8" s="125" t="s">
        <v>711</v>
      </c>
      <c r="K8" s="125" t="s">
        <v>710</v>
      </c>
      <c r="L8" s="125" t="s">
        <v>711</v>
      </c>
      <c r="M8" s="128"/>
    </row>
    <row r="9" spans="1:13" x14ac:dyDescent="0.25">
      <c r="A9" s="392" t="s">
        <v>134</v>
      </c>
      <c r="B9" s="392"/>
      <c r="C9" s="138">
        <v>2000</v>
      </c>
      <c r="D9" s="138"/>
      <c r="E9" s="138"/>
      <c r="F9" s="138"/>
      <c r="G9" s="138"/>
      <c r="H9" s="138"/>
      <c r="I9" s="139"/>
      <c r="J9" s="139"/>
      <c r="K9" s="146">
        <f>IF(E9="",C9,AVERAGE(C9,E9,G9,I9))</f>
        <v>2000</v>
      </c>
      <c r="L9" s="146">
        <f>IF(F9="",D9,AVERAGE(D9,F9,H9,J9))</f>
        <v>0</v>
      </c>
      <c r="M9" s="140" t="s">
        <v>689</v>
      </c>
    </row>
    <row r="10" spans="1:13" x14ac:dyDescent="0.25">
      <c r="A10" s="392" t="s">
        <v>135</v>
      </c>
      <c r="B10" s="392"/>
      <c r="C10" s="138"/>
      <c r="D10" s="138">
        <v>60</v>
      </c>
      <c r="E10" s="138"/>
      <c r="F10" s="138"/>
      <c r="G10" s="138"/>
      <c r="H10" s="138"/>
      <c r="I10" s="139"/>
      <c r="J10" s="139"/>
      <c r="K10" s="146">
        <f t="shared" ref="K10:K18" si="0">IF(E10="",C10,AVERAGE(C10,E10,G10,I10))</f>
        <v>0</v>
      </c>
      <c r="L10" s="146">
        <f t="shared" ref="L10:L18" si="1">IF(F10="",D10,AVERAGE(D10,F10,H10,J10))</f>
        <v>60</v>
      </c>
      <c r="M10" s="140" t="s">
        <v>689</v>
      </c>
    </row>
    <row r="11" spans="1:13" x14ac:dyDescent="0.25">
      <c r="A11" s="392" t="s">
        <v>136</v>
      </c>
      <c r="B11" s="392"/>
      <c r="C11" s="138"/>
      <c r="D11" s="138"/>
      <c r="E11" s="138"/>
      <c r="F11" s="138"/>
      <c r="G11" s="138"/>
      <c r="H11" s="138"/>
      <c r="I11" s="139"/>
      <c r="J11" s="139"/>
      <c r="K11" s="146">
        <f t="shared" si="0"/>
        <v>0</v>
      </c>
      <c r="L11" s="146">
        <f t="shared" si="1"/>
        <v>0</v>
      </c>
      <c r="M11" s="140" t="s">
        <v>689</v>
      </c>
    </row>
    <row r="12" spans="1:13" x14ac:dyDescent="0.25">
      <c r="A12" s="392" t="s">
        <v>137</v>
      </c>
      <c r="B12" s="392"/>
      <c r="C12" s="138"/>
      <c r="D12" s="138"/>
      <c r="E12" s="138"/>
      <c r="F12" s="138"/>
      <c r="G12" s="138"/>
      <c r="H12" s="138"/>
      <c r="I12" s="139"/>
      <c r="J12" s="139"/>
      <c r="K12" s="146">
        <f t="shared" si="0"/>
        <v>0</v>
      </c>
      <c r="L12" s="146">
        <f t="shared" si="1"/>
        <v>0</v>
      </c>
      <c r="M12" s="140" t="s">
        <v>689</v>
      </c>
    </row>
    <row r="13" spans="1:13" x14ac:dyDescent="0.25">
      <c r="A13" s="392" t="s">
        <v>138</v>
      </c>
      <c r="B13" s="392"/>
      <c r="C13" s="138"/>
      <c r="D13" s="138"/>
      <c r="E13" s="138"/>
      <c r="F13" s="138"/>
      <c r="G13" s="138"/>
      <c r="H13" s="138"/>
      <c r="I13" s="139"/>
      <c r="J13" s="139"/>
      <c r="K13" s="146">
        <f t="shared" si="0"/>
        <v>0</v>
      </c>
      <c r="L13" s="146">
        <f t="shared" si="1"/>
        <v>0</v>
      </c>
      <c r="M13" s="140" t="s">
        <v>689</v>
      </c>
    </row>
    <row r="14" spans="1:13" x14ac:dyDescent="0.25">
      <c r="A14" s="392" t="s">
        <v>139</v>
      </c>
      <c r="B14" s="392"/>
      <c r="C14" s="138"/>
      <c r="D14" s="138"/>
      <c r="E14" s="138"/>
      <c r="F14" s="138"/>
      <c r="G14" s="138"/>
      <c r="H14" s="138"/>
      <c r="I14" s="139"/>
      <c r="J14" s="139"/>
      <c r="K14" s="146">
        <f t="shared" si="0"/>
        <v>0</v>
      </c>
      <c r="L14" s="146">
        <f t="shared" si="1"/>
        <v>0</v>
      </c>
      <c r="M14" s="140" t="s">
        <v>689</v>
      </c>
    </row>
    <row r="15" spans="1:13" x14ac:dyDescent="0.25">
      <c r="A15" s="392" t="s">
        <v>140</v>
      </c>
      <c r="B15" s="392"/>
      <c r="C15" s="138"/>
      <c r="D15" s="138"/>
      <c r="E15" s="138"/>
      <c r="F15" s="138"/>
      <c r="G15" s="138"/>
      <c r="H15" s="138"/>
      <c r="I15" s="139"/>
      <c r="J15" s="139"/>
      <c r="K15" s="146">
        <f t="shared" si="0"/>
        <v>0</v>
      </c>
      <c r="L15" s="146">
        <f t="shared" si="1"/>
        <v>0</v>
      </c>
      <c r="M15" s="140" t="s">
        <v>689</v>
      </c>
    </row>
    <row r="16" spans="1:13" x14ac:dyDescent="0.25">
      <c r="A16" s="392" t="s">
        <v>141</v>
      </c>
      <c r="B16" s="392"/>
      <c r="C16" s="138"/>
      <c r="D16" s="138"/>
      <c r="E16" s="138"/>
      <c r="F16" s="138"/>
      <c r="G16" s="138"/>
      <c r="H16" s="138"/>
      <c r="I16" s="139"/>
      <c r="J16" s="139"/>
      <c r="K16" s="146">
        <f t="shared" si="0"/>
        <v>0</v>
      </c>
      <c r="L16" s="146">
        <f t="shared" si="1"/>
        <v>0</v>
      </c>
      <c r="M16" s="140" t="s">
        <v>689</v>
      </c>
    </row>
    <row r="17" spans="1:13" x14ac:dyDescent="0.25">
      <c r="A17" s="392" t="s">
        <v>142</v>
      </c>
      <c r="B17" s="392"/>
      <c r="C17" s="138"/>
      <c r="D17" s="138"/>
      <c r="E17" s="138"/>
      <c r="F17" s="138"/>
      <c r="G17" s="138"/>
      <c r="H17" s="138"/>
      <c r="I17" s="139"/>
      <c r="J17" s="139"/>
      <c r="K17" s="146">
        <f t="shared" si="0"/>
        <v>0</v>
      </c>
      <c r="L17" s="146">
        <f t="shared" si="1"/>
        <v>0</v>
      </c>
      <c r="M17" s="140" t="s">
        <v>689</v>
      </c>
    </row>
    <row r="18" spans="1:13" x14ac:dyDescent="0.25">
      <c r="A18" s="392" t="s">
        <v>143</v>
      </c>
      <c r="B18" s="392"/>
      <c r="C18" s="138"/>
      <c r="D18" s="138"/>
      <c r="E18" s="138"/>
      <c r="F18" s="138"/>
      <c r="G18" s="138"/>
      <c r="H18" s="138"/>
      <c r="I18" s="139"/>
      <c r="J18" s="139"/>
      <c r="K18" s="146">
        <f t="shared" si="0"/>
        <v>0</v>
      </c>
      <c r="L18" s="146">
        <f t="shared" si="1"/>
        <v>0</v>
      </c>
      <c r="M18" s="140" t="s">
        <v>689</v>
      </c>
    </row>
    <row r="19" spans="1:13" x14ac:dyDescent="0.25">
      <c r="A19" s="395" t="s">
        <v>128</v>
      </c>
      <c r="B19" s="395"/>
      <c r="C19" s="146">
        <f>SUM(C9:C18)</f>
        <v>2000</v>
      </c>
      <c r="D19" s="146">
        <f t="shared" ref="D19:J19" si="2">SUM(D9:D18)</f>
        <v>60</v>
      </c>
      <c r="E19" s="146">
        <f t="shared" si="2"/>
        <v>0</v>
      </c>
      <c r="F19" s="146">
        <f t="shared" si="2"/>
        <v>0</v>
      </c>
      <c r="G19" s="146">
        <f t="shared" si="2"/>
        <v>0</v>
      </c>
      <c r="H19" s="146">
        <f t="shared" si="2"/>
        <v>0</v>
      </c>
      <c r="I19" s="146">
        <f t="shared" si="2"/>
        <v>0</v>
      </c>
      <c r="J19" s="146">
        <f t="shared" si="2"/>
        <v>0</v>
      </c>
      <c r="K19" s="146">
        <f>IF(E19=0,C19,AVERAGE(C19,E19,G19,I19))</f>
        <v>2000</v>
      </c>
      <c r="L19" s="146">
        <f>IF(F19=0,D19,AVERAGE(D19,F19,H19,J19))</f>
        <v>60</v>
      </c>
      <c r="M19" s="140" t="s">
        <v>689</v>
      </c>
    </row>
    <row r="20" spans="1:13" x14ac:dyDescent="0.25">
      <c r="A20" s="393" t="s">
        <v>712</v>
      </c>
      <c r="B20" s="396"/>
      <c r="C20" s="396"/>
      <c r="D20" s="396"/>
      <c r="E20" s="396"/>
      <c r="F20" s="396"/>
      <c r="G20" s="396"/>
      <c r="H20" s="396"/>
      <c r="I20" s="396"/>
      <c r="J20" s="396"/>
      <c r="K20" s="396"/>
      <c r="L20" s="396"/>
      <c r="M20" s="394"/>
    </row>
    <row r="21" spans="1:13" x14ac:dyDescent="0.25">
      <c r="A21" s="126"/>
      <c r="B21" s="127"/>
      <c r="C21" s="127"/>
      <c r="D21" s="127"/>
      <c r="E21" s="127"/>
      <c r="F21" s="127"/>
      <c r="G21" s="127"/>
      <c r="H21" s="127"/>
      <c r="I21" s="127"/>
      <c r="J21" s="127"/>
      <c r="K21" s="127"/>
      <c r="L21" s="127"/>
      <c r="M21" s="128"/>
    </row>
    <row r="22" spans="1:13" x14ac:dyDescent="0.25">
      <c r="A22" s="393" t="s">
        <v>124</v>
      </c>
      <c r="B22" s="394"/>
      <c r="C22" s="512">
        <v>18000</v>
      </c>
      <c r="D22" s="513"/>
      <c r="E22" s="512"/>
      <c r="F22" s="513"/>
      <c r="G22" s="512"/>
      <c r="H22" s="513"/>
      <c r="I22" s="512"/>
      <c r="J22" s="513"/>
      <c r="K22" s="399">
        <f>IF(C22="","",IF(E22="",C22,AVERAGE(C22:J22)))</f>
        <v>18000</v>
      </c>
      <c r="L22" s="400"/>
      <c r="M22" s="140" t="s">
        <v>685</v>
      </c>
    </row>
    <row r="23" spans="1:13" x14ac:dyDescent="0.25">
      <c r="A23" s="393" t="s">
        <v>125</v>
      </c>
      <c r="B23" s="394"/>
      <c r="C23" s="512">
        <v>1000</v>
      </c>
      <c r="D23" s="513"/>
      <c r="E23" s="512"/>
      <c r="F23" s="513"/>
      <c r="G23" s="512"/>
      <c r="H23" s="513"/>
      <c r="I23" s="512"/>
      <c r="J23" s="513"/>
      <c r="K23" s="399">
        <f t="shared" ref="K23:K25" si="3">IF(C23="","",IF(E23="",C23,AVERAGE(C23:J23)))</f>
        <v>1000</v>
      </c>
      <c r="L23" s="400"/>
      <c r="M23" s="140" t="s">
        <v>685</v>
      </c>
    </row>
    <row r="24" spans="1:13" x14ac:dyDescent="0.25">
      <c r="A24" s="393" t="s">
        <v>126</v>
      </c>
      <c r="B24" s="394"/>
      <c r="C24" s="512"/>
      <c r="D24" s="513"/>
      <c r="E24" s="512"/>
      <c r="F24" s="513"/>
      <c r="G24" s="512"/>
      <c r="H24" s="513"/>
      <c r="I24" s="512"/>
      <c r="J24" s="513"/>
      <c r="K24" s="399" t="str">
        <f t="shared" si="3"/>
        <v/>
      </c>
      <c r="L24" s="400"/>
      <c r="M24" s="140" t="s">
        <v>685</v>
      </c>
    </row>
    <row r="25" spans="1:13" x14ac:dyDescent="0.25">
      <c r="A25" s="393" t="s">
        <v>615</v>
      </c>
      <c r="B25" s="394"/>
      <c r="C25" s="512"/>
      <c r="D25" s="513"/>
      <c r="E25" s="512"/>
      <c r="F25" s="513"/>
      <c r="G25" s="512"/>
      <c r="H25" s="513"/>
      <c r="I25" s="512"/>
      <c r="J25" s="513"/>
      <c r="K25" s="399" t="str">
        <f t="shared" si="3"/>
        <v/>
      </c>
      <c r="L25" s="400"/>
      <c r="M25" s="140" t="s">
        <v>685</v>
      </c>
    </row>
    <row r="26" spans="1:13" x14ac:dyDescent="0.25">
      <c r="A26" s="403" t="s">
        <v>128</v>
      </c>
      <c r="B26" s="403"/>
      <c r="C26" s="401">
        <f>SUM(C22:D25)</f>
        <v>19000</v>
      </c>
      <c r="D26" s="402"/>
      <c r="E26" s="401">
        <f>SUM(E22:F25)</f>
        <v>0</v>
      </c>
      <c r="F26" s="402"/>
      <c r="G26" s="401">
        <f>SUM(G22:H25)</f>
        <v>0</v>
      </c>
      <c r="H26" s="402"/>
      <c r="I26" s="401">
        <f>SUM(I22:J25)</f>
        <v>0</v>
      </c>
      <c r="J26" s="402"/>
      <c r="K26" s="401">
        <f>SUM(K22:L25)</f>
        <v>19000</v>
      </c>
      <c r="L26" s="402"/>
      <c r="M26" s="140"/>
    </row>
    <row r="27" spans="1:13" ht="14.45" customHeight="1" x14ac:dyDescent="0.25">
      <c r="A27" s="116"/>
      <c r="B27" s="116"/>
      <c r="C27" s="116"/>
      <c r="D27" s="116"/>
      <c r="E27" s="116"/>
      <c r="F27" s="116"/>
      <c r="G27" s="116"/>
      <c r="H27" s="116"/>
      <c r="I27" s="116"/>
      <c r="J27" s="116"/>
      <c r="K27" s="116"/>
      <c r="L27" s="116"/>
      <c r="M27" s="117"/>
    </row>
  </sheetData>
  <sheetProtection password="C5B9" sheet="1" objects="1" scenarios="1"/>
  <mergeCells count="52">
    <mergeCell ref="A2:M3"/>
    <mergeCell ref="K23:L23"/>
    <mergeCell ref="K24:L24"/>
    <mergeCell ref="K25:L25"/>
    <mergeCell ref="C26:D26"/>
    <mergeCell ref="E26:F26"/>
    <mergeCell ref="G26:H26"/>
    <mergeCell ref="I26:J26"/>
    <mergeCell ref="K26:L26"/>
    <mergeCell ref="G23:H23"/>
    <mergeCell ref="G24:H24"/>
    <mergeCell ref="G25:H25"/>
    <mergeCell ref="I22:J22"/>
    <mergeCell ref="I23:J23"/>
    <mergeCell ref="I24:J24"/>
    <mergeCell ref="I25:J25"/>
    <mergeCell ref="C23:D23"/>
    <mergeCell ref="C24:D24"/>
    <mergeCell ref="C25:D25"/>
    <mergeCell ref="E22:F22"/>
    <mergeCell ref="E23:F23"/>
    <mergeCell ref="E24:F24"/>
    <mergeCell ref="E25:F25"/>
    <mergeCell ref="C22:D22"/>
    <mergeCell ref="G22:H22"/>
    <mergeCell ref="K22:L22"/>
    <mergeCell ref="A16:B16"/>
    <mergeCell ref="A17:B17"/>
    <mergeCell ref="A18:B18"/>
    <mergeCell ref="A20:M20"/>
    <mergeCell ref="A19:B19"/>
    <mergeCell ref="A26:B26"/>
    <mergeCell ref="A23:B23"/>
    <mergeCell ref="A24:B24"/>
    <mergeCell ref="A25:B25"/>
    <mergeCell ref="A10:B10"/>
    <mergeCell ref="A11:B11"/>
    <mergeCell ref="A12:B12"/>
    <mergeCell ref="A13:B13"/>
    <mergeCell ref="A14:B14"/>
    <mergeCell ref="A15:B15"/>
    <mergeCell ref="A22:B22"/>
    <mergeCell ref="B4:M4"/>
    <mergeCell ref="A6:B6"/>
    <mergeCell ref="A9:B9"/>
    <mergeCell ref="C6:D6"/>
    <mergeCell ref="E6:F6"/>
    <mergeCell ref="G6:H6"/>
    <mergeCell ref="I6:J6"/>
    <mergeCell ref="A7:M7"/>
    <mergeCell ref="K6:L6"/>
    <mergeCell ref="A5:M5"/>
  </mergeCells>
  <pageMargins left="0.7" right="0.7" top="0.75" bottom="0.75" header="0.3" footer="0.3"/>
  <pageSetup scale="80" orientation="portrait" r:id="rId1"/>
  <headerFooter>
    <oddHeader>&amp;L&amp;G&amp;C&amp;G</oddHeader>
    <oddFooter>&amp;RNovember 2016</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3:K32"/>
  <sheetViews>
    <sheetView view="pageLayout" topLeftCell="A4" zoomScaleNormal="100" zoomScaleSheetLayoutView="100" workbookViewId="0">
      <selection activeCell="C6" sqref="C6:D15"/>
    </sheetView>
  </sheetViews>
  <sheetFormatPr defaultRowHeight="15" x14ac:dyDescent="0.25"/>
  <cols>
    <col min="1" max="1" width="2.85546875" customWidth="1"/>
    <col min="2" max="2" width="10.5703125" customWidth="1"/>
    <col min="3" max="3" width="10.7109375" customWidth="1"/>
    <col min="4" max="4" width="9.28515625" customWidth="1"/>
    <col min="5" max="5" width="10.28515625" customWidth="1"/>
    <col min="6" max="6" width="10.42578125" customWidth="1"/>
    <col min="7" max="8" width="10.7109375" customWidth="1"/>
    <col min="9" max="9" width="8.5703125" customWidth="1"/>
    <col min="10" max="10" width="9.85546875" bestFit="1" customWidth="1"/>
    <col min="11" max="11" width="10.7109375" customWidth="1"/>
  </cols>
  <sheetData>
    <row r="3" spans="1:11" ht="15.75" customHeight="1" x14ac:dyDescent="0.25">
      <c r="A3" s="41">
        <v>5</v>
      </c>
      <c r="B3" s="403" t="s">
        <v>129</v>
      </c>
      <c r="C3" s="403"/>
      <c r="D3" s="403"/>
      <c r="E3" s="403"/>
      <c r="F3" s="403"/>
      <c r="G3" s="403"/>
      <c r="H3" s="403"/>
      <c r="I3" s="403"/>
      <c r="J3" s="403"/>
      <c r="K3" s="403"/>
    </row>
    <row r="4" spans="1:11" s="2" customFormat="1" ht="22.5" customHeight="1" x14ac:dyDescent="0.2">
      <c r="A4" s="403"/>
      <c r="B4" s="403"/>
      <c r="C4" s="433" t="s">
        <v>130</v>
      </c>
      <c r="D4" s="433"/>
      <c r="E4" s="433"/>
      <c r="F4" s="390" t="s">
        <v>131</v>
      </c>
      <c r="G4" s="391"/>
      <c r="H4" s="391"/>
      <c r="I4" s="391"/>
      <c r="J4" s="434"/>
      <c r="K4" s="42"/>
    </row>
    <row r="5" spans="1:11" s="2" customFormat="1" ht="54.75" customHeight="1" x14ac:dyDescent="0.2">
      <c r="A5" s="392"/>
      <c r="B5" s="392"/>
      <c r="C5" s="40" t="s">
        <v>132</v>
      </c>
      <c r="D5" s="40" t="s">
        <v>686</v>
      </c>
      <c r="E5" s="40" t="s">
        <v>349</v>
      </c>
      <c r="F5" s="40" t="s">
        <v>132</v>
      </c>
      <c r="G5" s="40" t="s">
        <v>686</v>
      </c>
      <c r="H5" s="40" t="s">
        <v>349</v>
      </c>
      <c r="I5" s="80" t="s">
        <v>687</v>
      </c>
      <c r="J5" s="80" t="s">
        <v>688</v>
      </c>
      <c r="K5" s="40" t="s">
        <v>133</v>
      </c>
    </row>
    <row r="6" spans="1:11" s="2" customFormat="1" ht="15" customHeight="1" x14ac:dyDescent="0.2">
      <c r="A6" s="392" t="s">
        <v>134</v>
      </c>
      <c r="B6" s="392"/>
      <c r="C6" s="138"/>
      <c r="D6" s="138"/>
      <c r="E6" s="139"/>
      <c r="F6" s="139"/>
      <c r="G6" s="141"/>
      <c r="H6" s="140"/>
      <c r="I6" s="148" t="str">
        <f>IF(AND(C6="",D6=""),"",((C6-F6)*0.00341214+(D6-G6)*0.1)/(($C$16-$F$16)*0.00341214+($D$16-$G$16)*0.1))</f>
        <v/>
      </c>
      <c r="J6" s="148" t="str">
        <f>IF(AND(C6="",D6=""),"",(($C6-$F6)*'4. Purchased Energy Rates'!$F$8+($D6-$G6)*'4. Purchased Energy Rates'!$F$9)/(($C$16-$F$16)*'4. Purchased Energy Rates'!$F$8+($D$16-$G$16)*'4. Purchased Energy Rates'!$F$9))</f>
        <v/>
      </c>
      <c r="K6" s="140" t="s">
        <v>689</v>
      </c>
    </row>
    <row r="7" spans="1:11" s="2" customFormat="1" ht="15" customHeight="1" x14ac:dyDescent="0.2">
      <c r="A7" s="392" t="s">
        <v>135</v>
      </c>
      <c r="B7" s="392"/>
      <c r="C7" s="138"/>
      <c r="D7" s="138"/>
      <c r="E7" s="139"/>
      <c r="F7" s="139"/>
      <c r="G7" s="139"/>
      <c r="H7" s="140"/>
      <c r="I7" s="148" t="str">
        <f t="shared" ref="I7:I16" si="0">IF(AND(C7="",D7=""),"",((C7-F7)*0.00341214+(D7-G7)*0.1)/(($C$16-$F$16)*0.00341214+($D$16-$G$16)*0.1))</f>
        <v/>
      </c>
      <c r="J7" s="148" t="str">
        <f>IF(AND(C7="",D7=""),"",(($C7-$F7)*'4. Purchased Energy Rates'!$F$8+($D7-$G7)*'4. Purchased Energy Rates'!$F$9)/(($C$16-$F$16)*'4. Purchased Energy Rates'!$F$8+($D$16-$G$16)*'4. Purchased Energy Rates'!$F$9))</f>
        <v/>
      </c>
      <c r="K7" s="140" t="s">
        <v>689</v>
      </c>
    </row>
    <row r="8" spans="1:11" s="2" customFormat="1" ht="15" customHeight="1" x14ac:dyDescent="0.2">
      <c r="A8" s="392" t="s">
        <v>136</v>
      </c>
      <c r="B8" s="392"/>
      <c r="C8" s="138"/>
      <c r="D8" s="138"/>
      <c r="E8" s="139"/>
      <c r="F8" s="139"/>
      <c r="G8" s="139"/>
      <c r="H8" s="140"/>
      <c r="I8" s="148" t="str">
        <f t="shared" si="0"/>
        <v/>
      </c>
      <c r="J8" s="148" t="str">
        <f>IF(AND(C8="",D8=""),"",(($C8-$F8)*'4. Purchased Energy Rates'!$F$8+($D8-$G8)*'4. Purchased Energy Rates'!$F$9)/(($C$16-$F$16)*'4. Purchased Energy Rates'!$F$8+($D$16-$G$16)*'4. Purchased Energy Rates'!$F$9))</f>
        <v/>
      </c>
      <c r="K8" s="140" t="s">
        <v>689</v>
      </c>
    </row>
    <row r="9" spans="1:11" s="2" customFormat="1" ht="15" customHeight="1" x14ac:dyDescent="0.2">
      <c r="A9" s="392" t="s">
        <v>137</v>
      </c>
      <c r="B9" s="392"/>
      <c r="C9" s="138"/>
      <c r="D9" s="138"/>
      <c r="E9" s="139"/>
      <c r="F9" s="139"/>
      <c r="G9" s="139"/>
      <c r="H9" s="140"/>
      <c r="I9" s="148" t="str">
        <f t="shared" si="0"/>
        <v/>
      </c>
      <c r="J9" s="148" t="str">
        <f>IF(AND(C9="",D9=""),"",(($C9-$F9)*'4. Purchased Energy Rates'!$F$8+($D9-$G9)*'4. Purchased Energy Rates'!$F$9)/(($C$16-$F$16)*'4. Purchased Energy Rates'!$F$8+($D$16-$G$16)*'4. Purchased Energy Rates'!$F$9))</f>
        <v/>
      </c>
      <c r="K9" s="140" t="s">
        <v>689</v>
      </c>
    </row>
    <row r="10" spans="1:11" ht="15" customHeight="1" x14ac:dyDescent="0.25">
      <c r="A10" s="392" t="s">
        <v>138</v>
      </c>
      <c r="B10" s="392"/>
      <c r="C10" s="138"/>
      <c r="D10" s="138"/>
      <c r="E10" s="139"/>
      <c r="F10" s="139"/>
      <c r="G10" s="139"/>
      <c r="H10" s="140"/>
      <c r="I10" s="148" t="str">
        <f t="shared" si="0"/>
        <v/>
      </c>
      <c r="J10" s="148" t="str">
        <f>IF(AND(C10="",D10=""),"",(($C10-$F10)*'4. Purchased Energy Rates'!$F$8+($D10-$G10)*'4. Purchased Energy Rates'!$F$9)/(($C$16-$F$16)*'4. Purchased Energy Rates'!$F$8+($D$16-$G$16)*'4. Purchased Energy Rates'!$F$9))</f>
        <v/>
      </c>
      <c r="K10" s="140" t="s">
        <v>689</v>
      </c>
    </row>
    <row r="11" spans="1:11" ht="15" customHeight="1" x14ac:dyDescent="0.25">
      <c r="A11" s="392" t="s">
        <v>139</v>
      </c>
      <c r="B11" s="392"/>
      <c r="C11" s="138"/>
      <c r="D11" s="138"/>
      <c r="E11" s="139"/>
      <c r="F11" s="139"/>
      <c r="G11" s="139"/>
      <c r="H11" s="140"/>
      <c r="I11" s="148" t="str">
        <f t="shared" si="0"/>
        <v/>
      </c>
      <c r="J11" s="148" t="str">
        <f>IF(AND(C11="",D11=""),"",(($C11-$F11)*'4. Purchased Energy Rates'!$F$8+($D11-$G11)*'4. Purchased Energy Rates'!$F$9)/(($C$16-$F$16)*'4. Purchased Energy Rates'!$F$8+($D$16-$G$16)*'4. Purchased Energy Rates'!$F$9))</f>
        <v/>
      </c>
      <c r="K11" s="140" t="s">
        <v>689</v>
      </c>
    </row>
    <row r="12" spans="1:11" ht="15" customHeight="1" x14ac:dyDescent="0.25">
      <c r="A12" s="392" t="s">
        <v>140</v>
      </c>
      <c r="B12" s="392"/>
      <c r="C12" s="138"/>
      <c r="D12" s="138"/>
      <c r="E12" s="139"/>
      <c r="F12" s="139"/>
      <c r="G12" s="139"/>
      <c r="H12" s="140"/>
      <c r="I12" s="148" t="str">
        <f t="shared" si="0"/>
        <v/>
      </c>
      <c r="J12" s="148" t="str">
        <f>IF(AND(C12="",D12=""),"",(($C12-$F12)*'4. Purchased Energy Rates'!$F$8+($D12-$G12)*'4. Purchased Energy Rates'!$F$9)/(($C$16-$F$16)*'4. Purchased Energy Rates'!$F$8+($D$16-$G$16)*'4. Purchased Energy Rates'!$F$9))</f>
        <v/>
      </c>
      <c r="K12" s="140" t="s">
        <v>689</v>
      </c>
    </row>
    <row r="13" spans="1:11" ht="15" customHeight="1" x14ac:dyDescent="0.25">
      <c r="A13" s="392" t="s">
        <v>141</v>
      </c>
      <c r="B13" s="392"/>
      <c r="C13" s="138"/>
      <c r="D13" s="138"/>
      <c r="E13" s="139"/>
      <c r="F13" s="139"/>
      <c r="G13" s="139"/>
      <c r="H13" s="140"/>
      <c r="I13" s="148" t="str">
        <f t="shared" si="0"/>
        <v/>
      </c>
      <c r="J13" s="148" t="str">
        <f>IF(AND(C13="",D13=""),"",(($C13-$F13)*'4. Purchased Energy Rates'!$F$8+($D13-$G13)*'4. Purchased Energy Rates'!$F$9)/(($C$16-$F$16)*'4. Purchased Energy Rates'!$F$8+($D$16-$G$16)*'4. Purchased Energy Rates'!$F$9))</f>
        <v/>
      </c>
      <c r="K13" s="140" t="s">
        <v>689</v>
      </c>
    </row>
    <row r="14" spans="1:11" ht="15" customHeight="1" x14ac:dyDescent="0.25">
      <c r="A14" s="392" t="s">
        <v>142</v>
      </c>
      <c r="B14" s="392"/>
      <c r="C14" s="138"/>
      <c r="D14" s="138"/>
      <c r="E14" s="139"/>
      <c r="F14" s="139"/>
      <c r="G14" s="139"/>
      <c r="H14" s="140"/>
      <c r="I14" s="148" t="str">
        <f t="shared" si="0"/>
        <v/>
      </c>
      <c r="J14" s="148" t="str">
        <f>IF(AND(C14="",D14=""),"",(($C14-$F14)*'4. Purchased Energy Rates'!$F$8+($D14-$G14)*'4. Purchased Energy Rates'!$F$9)/(($C$16-$F$16)*'4. Purchased Energy Rates'!$F$8+($D$16-$G$16)*'4. Purchased Energy Rates'!$F$9))</f>
        <v/>
      </c>
      <c r="K14" s="140" t="s">
        <v>689</v>
      </c>
    </row>
    <row r="15" spans="1:11" ht="15" customHeight="1" x14ac:dyDescent="0.25">
      <c r="A15" s="392" t="s">
        <v>143</v>
      </c>
      <c r="B15" s="392"/>
      <c r="C15" s="138"/>
      <c r="D15" s="138"/>
      <c r="E15" s="139"/>
      <c r="F15" s="139"/>
      <c r="G15" s="139"/>
      <c r="H15" s="140"/>
      <c r="I15" s="148" t="str">
        <f t="shared" si="0"/>
        <v/>
      </c>
      <c r="J15" s="148" t="str">
        <f>IF(AND(C15="",D15=""),"",(($C15-$F15)*'4. Purchased Energy Rates'!$F$8+($D15-$G15)*'4. Purchased Energy Rates'!$F$9)/(($C$16-$F$16)*'4. Purchased Energy Rates'!$F$8+($D$16-$G$16)*'4. Purchased Energy Rates'!$F$9))</f>
        <v/>
      </c>
      <c r="K15" s="140" t="s">
        <v>689</v>
      </c>
    </row>
    <row r="16" spans="1:11" ht="15" customHeight="1" x14ac:dyDescent="0.25">
      <c r="A16" s="403" t="s">
        <v>128</v>
      </c>
      <c r="B16" s="403"/>
      <c r="C16" s="146" t="str">
        <f t="shared" ref="C16:H16" si="1">IF(SUM(C6:C15)=0,"",SUM(C6:C15))</f>
        <v/>
      </c>
      <c r="D16" s="146" t="str">
        <f t="shared" si="1"/>
        <v/>
      </c>
      <c r="E16" s="146" t="str">
        <f t="shared" si="1"/>
        <v/>
      </c>
      <c r="F16" s="146" t="str">
        <f t="shared" si="1"/>
        <v/>
      </c>
      <c r="G16" s="146" t="str">
        <f>IF(SUM(G7:G15)=0,"",SUM(G7:G15))</f>
        <v/>
      </c>
      <c r="H16" s="147" t="str">
        <f t="shared" si="1"/>
        <v/>
      </c>
      <c r="I16" s="148" t="str">
        <f t="shared" si="0"/>
        <v/>
      </c>
      <c r="J16" s="148" t="str">
        <f>IF(AND(C16="",D16=""),"",(($C16-$F16)*'4. Purchased Energy Rates'!$F$8+($D16-$G16)*'4. Purchased Energy Rates'!$F$9)/(($C$16-$F$16)*'4. Purchased Energy Rates'!$F$8+($D$16-$G$16)*'4. Purchased Energy Rates'!$F$9))</f>
        <v/>
      </c>
      <c r="K16" s="140"/>
    </row>
    <row r="17" spans="1:11" ht="15" customHeight="1" x14ac:dyDescent="0.25">
      <c r="A17" s="116"/>
      <c r="B17" s="116"/>
      <c r="C17" s="116"/>
      <c r="D17" s="116"/>
      <c r="E17" s="116"/>
      <c r="F17" s="116"/>
      <c r="G17" s="514" t="e">
        <f>IF(J17="","",IF(J17='4. Purchased Energy Rates'!E12-'4. Purchased Energy Rates'!G12,"Aligns with Section 4","Does Not Align with Section 4"))</f>
        <v>#VALUE!</v>
      </c>
      <c r="H17" s="514"/>
      <c r="I17" s="514"/>
      <c r="J17" s="149" t="e">
        <f>($C$16-$F$16)*'4. Purchased Energy Rates'!$F$8+($D$16-$G$16)*'4. Purchased Energy Rates'!$F$9</f>
        <v>#VALUE!</v>
      </c>
      <c r="K17" s="117"/>
    </row>
    <row r="18" spans="1:11" x14ac:dyDescent="0.25">
      <c r="A18" s="118"/>
      <c r="B18" s="119"/>
      <c r="C18" s="119"/>
      <c r="D18" s="119"/>
      <c r="E18" s="119"/>
      <c r="F18" s="119"/>
      <c r="G18" s="119"/>
      <c r="H18" s="119"/>
      <c r="I18" s="119"/>
      <c r="J18" s="119"/>
      <c r="K18" s="120"/>
    </row>
    <row r="19" spans="1:11" x14ac:dyDescent="0.25">
      <c r="A19" s="79" t="s">
        <v>560</v>
      </c>
      <c r="B19" s="403" t="s">
        <v>561</v>
      </c>
      <c r="C19" s="403"/>
      <c r="D19" s="403"/>
      <c r="E19" s="403"/>
      <c r="F19" s="403"/>
      <c r="G19" s="403"/>
      <c r="H19" s="403"/>
      <c r="I19" s="403"/>
      <c r="J19" s="403"/>
      <c r="K19" s="403"/>
    </row>
    <row r="20" spans="1:11" x14ac:dyDescent="0.25">
      <c r="A20" s="81"/>
      <c r="B20" s="129" t="s">
        <v>562</v>
      </c>
      <c r="C20" s="130"/>
      <c r="D20" s="130"/>
      <c r="E20" s="130"/>
      <c r="F20" s="130"/>
      <c r="G20" s="130"/>
      <c r="H20" s="130"/>
      <c r="I20" s="130"/>
      <c r="J20" s="130"/>
      <c r="K20" s="131"/>
    </row>
    <row r="21" spans="1:11" x14ac:dyDescent="0.25">
      <c r="A21" s="82"/>
      <c r="B21" s="142" t="s">
        <v>749</v>
      </c>
      <c r="C21" s="142"/>
      <c r="D21" s="142"/>
      <c r="E21" s="142"/>
      <c r="F21" s="142"/>
      <c r="G21" s="142"/>
      <c r="H21" s="142"/>
      <c r="I21" s="142"/>
      <c r="J21" s="142"/>
      <c r="K21" s="143"/>
    </row>
    <row r="22" spans="1:11" x14ac:dyDescent="0.25">
      <c r="A22" s="82"/>
      <c r="B22" s="142" t="s">
        <v>750</v>
      </c>
      <c r="C22" s="142"/>
      <c r="D22" s="142"/>
      <c r="E22" s="142"/>
      <c r="F22" s="142"/>
      <c r="G22" s="142"/>
      <c r="H22" s="142"/>
      <c r="I22" s="142"/>
      <c r="J22" s="142"/>
      <c r="K22" s="143"/>
    </row>
    <row r="23" spans="1:11" x14ac:dyDescent="0.25">
      <c r="A23" s="82"/>
      <c r="B23" s="142" t="s">
        <v>751</v>
      </c>
      <c r="C23" s="142"/>
      <c r="D23" s="142"/>
      <c r="E23" s="142"/>
      <c r="F23" s="142"/>
      <c r="G23" s="142"/>
      <c r="H23" s="142"/>
      <c r="I23" s="142"/>
      <c r="J23" s="142"/>
      <c r="K23" s="143"/>
    </row>
    <row r="24" spans="1:11" x14ac:dyDescent="0.25">
      <c r="A24" s="82"/>
      <c r="B24" s="142"/>
      <c r="C24" s="142"/>
      <c r="D24" s="142"/>
      <c r="E24" s="142"/>
      <c r="F24" s="142"/>
      <c r="G24" s="142"/>
      <c r="H24" s="142"/>
      <c r="I24" s="142"/>
      <c r="J24" s="142"/>
      <c r="K24" s="143"/>
    </row>
    <row r="25" spans="1:11" x14ac:dyDescent="0.25">
      <c r="A25" s="82"/>
      <c r="B25" s="142"/>
      <c r="C25" s="142"/>
      <c r="D25" s="142"/>
      <c r="E25" s="142"/>
      <c r="F25" s="142"/>
      <c r="G25" s="142"/>
      <c r="H25" s="142"/>
      <c r="I25" s="142"/>
      <c r="J25" s="142"/>
      <c r="K25" s="143"/>
    </row>
    <row r="26" spans="1:11" x14ac:dyDescent="0.25">
      <c r="A26" s="82"/>
      <c r="B26" s="142"/>
      <c r="C26" s="142"/>
      <c r="D26" s="142"/>
      <c r="E26" s="142"/>
      <c r="F26" s="142"/>
      <c r="G26" s="142"/>
      <c r="H26" s="142"/>
      <c r="I26" s="142"/>
      <c r="J26" s="142"/>
      <c r="K26" s="143"/>
    </row>
    <row r="27" spans="1:11" x14ac:dyDescent="0.25">
      <c r="A27" s="82"/>
      <c r="B27" s="142"/>
      <c r="C27" s="142"/>
      <c r="D27" s="142"/>
      <c r="E27" s="142"/>
      <c r="F27" s="142"/>
      <c r="G27" s="142"/>
      <c r="H27" s="142"/>
      <c r="I27" s="142"/>
      <c r="J27" s="142"/>
      <c r="K27" s="143"/>
    </row>
    <row r="28" spans="1:11" x14ac:dyDescent="0.25">
      <c r="A28" s="82"/>
      <c r="B28" s="142"/>
      <c r="C28" s="142"/>
      <c r="D28" s="142"/>
      <c r="E28" s="142"/>
      <c r="F28" s="142"/>
      <c r="G28" s="142"/>
      <c r="H28" s="142"/>
      <c r="I28" s="142"/>
      <c r="J28" s="142"/>
      <c r="K28" s="143"/>
    </row>
    <row r="29" spans="1:11" x14ac:dyDescent="0.25">
      <c r="A29" s="82"/>
      <c r="B29" s="142"/>
      <c r="C29" s="142"/>
      <c r="D29" s="142"/>
      <c r="E29" s="142"/>
      <c r="F29" s="142"/>
      <c r="G29" s="142"/>
      <c r="H29" s="142"/>
      <c r="I29" s="142"/>
      <c r="J29" s="142"/>
      <c r="K29" s="143"/>
    </row>
    <row r="30" spans="1:11" x14ac:dyDescent="0.25">
      <c r="A30" s="82"/>
      <c r="B30" s="142"/>
      <c r="C30" s="142"/>
      <c r="D30" s="142"/>
      <c r="E30" s="142"/>
      <c r="F30" s="142"/>
      <c r="G30" s="142"/>
      <c r="H30" s="142"/>
      <c r="I30" s="142"/>
      <c r="J30" s="142"/>
      <c r="K30" s="143"/>
    </row>
    <row r="31" spans="1:11" x14ac:dyDescent="0.25">
      <c r="A31" s="82"/>
      <c r="B31" s="142"/>
      <c r="C31" s="142"/>
      <c r="D31" s="142"/>
      <c r="E31" s="142"/>
      <c r="F31" s="142"/>
      <c r="G31" s="142"/>
      <c r="H31" s="142"/>
      <c r="I31" s="142"/>
      <c r="J31" s="142"/>
      <c r="K31" s="143"/>
    </row>
    <row r="32" spans="1:11" x14ac:dyDescent="0.25">
      <c r="A32" s="83"/>
      <c r="B32" s="144"/>
      <c r="C32" s="144"/>
      <c r="D32" s="144"/>
      <c r="E32" s="144"/>
      <c r="F32" s="144"/>
      <c r="G32" s="144"/>
      <c r="H32" s="144"/>
      <c r="I32" s="144"/>
      <c r="J32" s="144"/>
      <c r="K32" s="145"/>
    </row>
  </sheetData>
  <sheetProtection password="C5B9" sheet="1" objects="1" scenarios="1"/>
  <mergeCells count="18">
    <mergeCell ref="A12:B12"/>
    <mergeCell ref="A14:B14"/>
    <mergeCell ref="B19:K19"/>
    <mergeCell ref="A16:B16"/>
    <mergeCell ref="G17:I17"/>
    <mergeCell ref="B3:K3"/>
    <mergeCell ref="A4:B4"/>
    <mergeCell ref="C4:E4"/>
    <mergeCell ref="A15:B15"/>
    <mergeCell ref="A5:B5"/>
    <mergeCell ref="F4:J4"/>
    <mergeCell ref="A13:B13"/>
    <mergeCell ref="A6:B6"/>
    <mergeCell ref="A7:B7"/>
    <mergeCell ref="A8:B8"/>
    <mergeCell ref="A9:B9"/>
    <mergeCell ref="A10:B10"/>
    <mergeCell ref="A11:B11"/>
  </mergeCells>
  <pageMargins left="0.7" right="0.7" top="0.75" bottom="0.75" header="0.3" footer="0.3"/>
  <pageSetup scale="84" orientation="portrait" r:id="rId1"/>
  <headerFooter>
    <oddHeader>&amp;L&amp;G&amp;C&amp;G</oddHeader>
    <oddFooter>&amp;RNovember 2016</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30"/>
  <sheetViews>
    <sheetView workbookViewId="0">
      <selection activeCell="J31" sqref="J31"/>
    </sheetView>
  </sheetViews>
  <sheetFormatPr defaultRowHeight="15" x14ac:dyDescent="0.25"/>
  <cols>
    <col min="1" max="1" width="12.7109375" customWidth="1"/>
    <col min="7" max="7" width="9.7109375" customWidth="1"/>
  </cols>
  <sheetData>
    <row r="1" spans="1:16" x14ac:dyDescent="0.25">
      <c r="A1" s="380" t="s">
        <v>619</v>
      </c>
      <c r="B1" s="374" t="s">
        <v>620</v>
      </c>
      <c r="C1" s="374"/>
      <c r="D1" s="374"/>
      <c r="E1" s="374" t="s">
        <v>625</v>
      </c>
      <c r="F1" s="374"/>
      <c r="G1" s="374"/>
      <c r="H1" s="375" t="s">
        <v>626</v>
      </c>
      <c r="I1" s="375"/>
      <c r="J1" s="375"/>
      <c r="K1" s="374" t="s">
        <v>627</v>
      </c>
      <c r="L1" s="374"/>
      <c r="M1" s="374"/>
      <c r="N1" s="374" t="s">
        <v>628</v>
      </c>
      <c r="O1" s="374"/>
      <c r="P1" s="374"/>
    </row>
    <row r="2" spans="1:16" x14ac:dyDescent="0.25">
      <c r="A2" s="380"/>
      <c r="B2" s="374" t="s">
        <v>621</v>
      </c>
      <c r="C2" s="374"/>
      <c r="D2" s="374"/>
      <c r="E2" s="374" t="s">
        <v>621</v>
      </c>
      <c r="F2" s="374"/>
      <c r="G2" s="374"/>
      <c r="H2" s="375"/>
      <c r="I2" s="375"/>
      <c r="J2" s="375"/>
      <c r="K2" s="374" t="s">
        <v>621</v>
      </c>
      <c r="L2" s="374"/>
      <c r="M2" s="374"/>
      <c r="N2" s="374" t="s">
        <v>621</v>
      </c>
      <c r="O2" s="374"/>
      <c r="P2" s="374"/>
    </row>
    <row r="3" spans="1:16" x14ac:dyDescent="0.25">
      <c r="A3" s="380"/>
      <c r="B3" t="s">
        <v>622</v>
      </c>
      <c r="C3" t="s">
        <v>623</v>
      </c>
      <c r="D3" t="s">
        <v>624</v>
      </c>
      <c r="E3" t="s">
        <v>622</v>
      </c>
      <c r="F3" t="s">
        <v>623</v>
      </c>
      <c r="G3" t="s">
        <v>624</v>
      </c>
      <c r="H3" t="s">
        <v>622</v>
      </c>
      <c r="I3" t="s">
        <v>623</v>
      </c>
      <c r="J3" t="s">
        <v>624</v>
      </c>
      <c r="K3" t="s">
        <v>622</v>
      </c>
      <c r="L3" t="s">
        <v>623</v>
      </c>
      <c r="M3" t="s">
        <v>624</v>
      </c>
      <c r="N3" t="s">
        <v>622</v>
      </c>
      <c r="O3" t="s">
        <v>623</v>
      </c>
      <c r="P3" t="s">
        <v>624</v>
      </c>
    </row>
    <row r="4" spans="1:16" x14ac:dyDescent="0.25">
      <c r="A4" t="s">
        <v>629</v>
      </c>
      <c r="B4">
        <v>0</v>
      </c>
      <c r="C4">
        <v>0</v>
      </c>
      <c r="D4">
        <v>0</v>
      </c>
      <c r="E4">
        <v>5</v>
      </c>
      <c r="F4">
        <v>5</v>
      </c>
      <c r="G4">
        <v>5</v>
      </c>
      <c r="H4" t="s">
        <v>657</v>
      </c>
      <c r="I4" t="s">
        <v>657</v>
      </c>
      <c r="J4" t="s">
        <v>657</v>
      </c>
      <c r="K4">
        <v>4</v>
      </c>
      <c r="L4">
        <v>11</v>
      </c>
      <c r="M4">
        <v>7</v>
      </c>
      <c r="N4">
        <v>0</v>
      </c>
      <c r="O4">
        <v>0</v>
      </c>
      <c r="P4">
        <v>0</v>
      </c>
    </row>
    <row r="5" spans="1:16" x14ac:dyDescent="0.25">
      <c r="A5" t="s">
        <v>630</v>
      </c>
      <c r="B5">
        <v>0</v>
      </c>
      <c r="C5">
        <v>0</v>
      </c>
      <c r="D5">
        <v>0</v>
      </c>
      <c r="E5">
        <v>5</v>
      </c>
      <c r="F5">
        <v>5</v>
      </c>
      <c r="G5">
        <v>5</v>
      </c>
      <c r="H5" t="s">
        <v>657</v>
      </c>
      <c r="I5" t="s">
        <v>657</v>
      </c>
      <c r="J5" t="s">
        <v>657</v>
      </c>
      <c r="K5">
        <v>5</v>
      </c>
      <c r="L5">
        <v>10</v>
      </c>
      <c r="M5">
        <v>7</v>
      </c>
      <c r="N5">
        <v>0</v>
      </c>
      <c r="O5">
        <v>0</v>
      </c>
      <c r="P5">
        <v>0</v>
      </c>
    </row>
    <row r="6" spans="1:16" x14ac:dyDescent="0.25">
      <c r="A6" t="s">
        <v>631</v>
      </c>
      <c r="B6">
        <v>0</v>
      </c>
      <c r="C6">
        <v>0</v>
      </c>
      <c r="D6">
        <v>0</v>
      </c>
      <c r="E6">
        <v>5</v>
      </c>
      <c r="F6">
        <v>5</v>
      </c>
      <c r="G6">
        <v>5</v>
      </c>
      <c r="H6" t="s">
        <v>657</v>
      </c>
      <c r="I6" t="s">
        <v>657</v>
      </c>
      <c r="J6" t="s">
        <v>657</v>
      </c>
      <c r="K6">
        <v>5</v>
      </c>
      <c r="L6">
        <v>8</v>
      </c>
      <c r="M6">
        <v>7</v>
      </c>
      <c r="N6">
        <v>0</v>
      </c>
      <c r="O6">
        <v>0</v>
      </c>
      <c r="P6">
        <v>0</v>
      </c>
    </row>
    <row r="7" spans="1:16" x14ac:dyDescent="0.25">
      <c r="A7" t="s">
        <v>632</v>
      </c>
      <c r="B7">
        <v>0</v>
      </c>
      <c r="C7">
        <v>0</v>
      </c>
      <c r="D7">
        <v>0</v>
      </c>
      <c r="E7">
        <v>5</v>
      </c>
      <c r="F7">
        <v>5</v>
      </c>
      <c r="G7">
        <v>5</v>
      </c>
      <c r="H7" t="s">
        <v>657</v>
      </c>
      <c r="I7" t="s">
        <v>657</v>
      </c>
      <c r="J7" t="s">
        <v>657</v>
      </c>
      <c r="K7">
        <v>4</v>
      </c>
      <c r="L7">
        <v>6</v>
      </c>
      <c r="M7">
        <v>6</v>
      </c>
      <c r="N7">
        <v>0</v>
      </c>
      <c r="O7">
        <v>0</v>
      </c>
      <c r="P7">
        <v>0</v>
      </c>
    </row>
    <row r="8" spans="1:16" x14ac:dyDescent="0.25">
      <c r="A8" t="s">
        <v>633</v>
      </c>
      <c r="B8">
        <v>0</v>
      </c>
      <c r="C8">
        <v>0</v>
      </c>
      <c r="D8">
        <v>0</v>
      </c>
      <c r="E8">
        <v>5</v>
      </c>
      <c r="F8">
        <v>5</v>
      </c>
      <c r="G8">
        <v>5</v>
      </c>
      <c r="H8" t="s">
        <v>657</v>
      </c>
      <c r="I8" t="s">
        <v>657</v>
      </c>
      <c r="J8" t="s">
        <v>657</v>
      </c>
      <c r="K8">
        <v>4</v>
      </c>
      <c r="L8">
        <v>6</v>
      </c>
      <c r="M8">
        <v>6</v>
      </c>
      <c r="N8">
        <v>0</v>
      </c>
      <c r="O8">
        <v>0</v>
      </c>
      <c r="P8">
        <v>0</v>
      </c>
    </row>
    <row r="9" spans="1:16" x14ac:dyDescent="0.25">
      <c r="A9" t="s">
        <v>634</v>
      </c>
      <c r="B9">
        <v>0</v>
      </c>
      <c r="C9">
        <v>0</v>
      </c>
      <c r="D9">
        <v>0</v>
      </c>
      <c r="E9">
        <v>5</v>
      </c>
      <c r="F9">
        <v>5</v>
      </c>
      <c r="G9">
        <v>5</v>
      </c>
      <c r="H9" t="s">
        <v>657</v>
      </c>
      <c r="I9" t="s">
        <v>657</v>
      </c>
      <c r="J9" t="s">
        <v>657</v>
      </c>
      <c r="K9">
        <v>4</v>
      </c>
      <c r="L9">
        <v>6</v>
      </c>
      <c r="M9">
        <v>6</v>
      </c>
      <c r="N9">
        <v>0</v>
      </c>
      <c r="O9">
        <v>0</v>
      </c>
      <c r="P9">
        <v>0</v>
      </c>
    </row>
    <row r="10" spans="1:16" x14ac:dyDescent="0.25">
      <c r="A10" t="s">
        <v>635</v>
      </c>
      <c r="B10">
        <v>0</v>
      </c>
      <c r="C10">
        <v>0</v>
      </c>
      <c r="D10">
        <v>0</v>
      </c>
      <c r="E10">
        <v>5</v>
      </c>
      <c r="F10">
        <v>5</v>
      </c>
      <c r="G10">
        <v>5</v>
      </c>
      <c r="H10" t="s">
        <v>658</v>
      </c>
      <c r="I10" t="s">
        <v>658</v>
      </c>
      <c r="J10" t="s">
        <v>657</v>
      </c>
      <c r="K10">
        <v>4</v>
      </c>
      <c r="L10">
        <v>7</v>
      </c>
      <c r="M10">
        <v>7</v>
      </c>
      <c r="N10">
        <v>0</v>
      </c>
      <c r="O10">
        <v>0</v>
      </c>
      <c r="P10">
        <v>0</v>
      </c>
    </row>
    <row r="11" spans="1:16" x14ac:dyDescent="0.25">
      <c r="A11" t="s">
        <v>636</v>
      </c>
      <c r="B11">
        <v>10</v>
      </c>
      <c r="C11">
        <v>10</v>
      </c>
      <c r="D11">
        <v>0</v>
      </c>
      <c r="E11">
        <v>20</v>
      </c>
      <c r="F11">
        <v>10</v>
      </c>
      <c r="G11">
        <v>5</v>
      </c>
      <c r="H11" t="s">
        <v>658</v>
      </c>
      <c r="I11" t="s">
        <v>658</v>
      </c>
      <c r="J11" t="s">
        <v>657</v>
      </c>
      <c r="K11">
        <v>15</v>
      </c>
      <c r="L11">
        <v>20</v>
      </c>
      <c r="M11">
        <v>10</v>
      </c>
      <c r="N11">
        <v>12</v>
      </c>
      <c r="O11">
        <v>9</v>
      </c>
      <c r="P11">
        <v>0</v>
      </c>
    </row>
    <row r="12" spans="1:16" x14ac:dyDescent="0.25">
      <c r="A12" t="s">
        <v>637</v>
      </c>
      <c r="B12">
        <v>20</v>
      </c>
      <c r="C12">
        <v>20</v>
      </c>
      <c r="D12">
        <v>0</v>
      </c>
      <c r="E12">
        <v>50</v>
      </c>
      <c r="F12">
        <v>30</v>
      </c>
      <c r="G12">
        <v>10</v>
      </c>
      <c r="H12" t="s">
        <v>658</v>
      </c>
      <c r="I12" t="s">
        <v>658</v>
      </c>
      <c r="J12" t="s">
        <v>658</v>
      </c>
      <c r="K12">
        <v>23</v>
      </c>
      <c r="L12">
        <v>24</v>
      </c>
      <c r="M12">
        <v>12</v>
      </c>
      <c r="N12">
        <v>22</v>
      </c>
      <c r="O12">
        <v>21</v>
      </c>
      <c r="P12">
        <v>0</v>
      </c>
    </row>
    <row r="13" spans="1:16" x14ac:dyDescent="0.25">
      <c r="A13" t="s">
        <v>638</v>
      </c>
      <c r="B13">
        <v>50</v>
      </c>
      <c r="C13">
        <v>50</v>
      </c>
      <c r="D13">
        <v>10</v>
      </c>
      <c r="E13" t="s">
        <v>675</v>
      </c>
      <c r="F13" t="s">
        <v>673</v>
      </c>
      <c r="G13">
        <v>10</v>
      </c>
      <c r="H13" t="s">
        <v>658</v>
      </c>
      <c r="I13" t="s">
        <v>658</v>
      </c>
      <c r="J13" t="s">
        <v>658</v>
      </c>
      <c r="K13">
        <v>32</v>
      </c>
      <c r="L13">
        <v>27</v>
      </c>
      <c r="M13">
        <v>14</v>
      </c>
      <c r="N13">
        <v>64</v>
      </c>
      <c r="O13">
        <v>56</v>
      </c>
      <c r="P13">
        <v>11</v>
      </c>
    </row>
    <row r="14" spans="1:16" x14ac:dyDescent="0.25">
      <c r="A14" t="s">
        <v>639</v>
      </c>
      <c r="B14">
        <v>50</v>
      </c>
      <c r="C14">
        <v>60</v>
      </c>
      <c r="D14">
        <v>20</v>
      </c>
      <c r="E14" t="s">
        <v>675</v>
      </c>
      <c r="F14" t="s">
        <v>675</v>
      </c>
      <c r="G14">
        <v>40</v>
      </c>
      <c r="H14" t="s">
        <v>658</v>
      </c>
      <c r="I14" t="s">
        <v>658</v>
      </c>
      <c r="J14" t="s">
        <v>658</v>
      </c>
      <c r="K14">
        <v>41</v>
      </c>
      <c r="L14">
        <v>42</v>
      </c>
      <c r="M14">
        <v>29</v>
      </c>
      <c r="N14">
        <v>74</v>
      </c>
      <c r="O14">
        <v>66</v>
      </c>
      <c r="P14">
        <v>13</v>
      </c>
    </row>
    <row r="15" spans="1:16" x14ac:dyDescent="0.25">
      <c r="A15" t="s">
        <v>640</v>
      </c>
      <c r="B15">
        <v>70</v>
      </c>
      <c r="C15">
        <v>80</v>
      </c>
      <c r="D15">
        <v>20</v>
      </c>
      <c r="E15" t="s">
        <v>675</v>
      </c>
      <c r="F15" t="s">
        <v>675</v>
      </c>
      <c r="G15">
        <v>40</v>
      </c>
      <c r="H15" t="s">
        <v>658</v>
      </c>
      <c r="I15" t="s">
        <v>658</v>
      </c>
      <c r="J15" t="s">
        <v>658</v>
      </c>
      <c r="K15">
        <v>57</v>
      </c>
      <c r="L15">
        <v>54</v>
      </c>
      <c r="M15">
        <v>31</v>
      </c>
      <c r="N15">
        <v>68</v>
      </c>
      <c r="O15">
        <v>68</v>
      </c>
      <c r="P15">
        <v>35</v>
      </c>
    </row>
    <row r="16" spans="1:16" x14ac:dyDescent="0.25">
      <c r="A16" t="s">
        <v>641</v>
      </c>
      <c r="B16">
        <v>70</v>
      </c>
      <c r="C16">
        <v>80</v>
      </c>
      <c r="D16">
        <v>40</v>
      </c>
      <c r="E16" t="s">
        <v>675</v>
      </c>
      <c r="F16" t="s">
        <v>675</v>
      </c>
      <c r="G16" t="s">
        <v>673</v>
      </c>
      <c r="H16" t="s">
        <v>658</v>
      </c>
      <c r="I16" t="s">
        <v>658</v>
      </c>
      <c r="J16" t="s">
        <v>658</v>
      </c>
      <c r="K16">
        <v>62</v>
      </c>
      <c r="L16">
        <v>59</v>
      </c>
      <c r="M16">
        <v>36</v>
      </c>
      <c r="N16">
        <v>68</v>
      </c>
      <c r="O16">
        <v>68</v>
      </c>
      <c r="P16">
        <v>37</v>
      </c>
    </row>
    <row r="17" spans="1:16" x14ac:dyDescent="0.25">
      <c r="A17" t="s">
        <v>642</v>
      </c>
      <c r="B17">
        <v>70</v>
      </c>
      <c r="C17">
        <v>80</v>
      </c>
      <c r="D17">
        <v>40</v>
      </c>
      <c r="E17" t="s">
        <v>675</v>
      </c>
      <c r="F17" t="s">
        <v>675</v>
      </c>
      <c r="G17" t="s">
        <v>673</v>
      </c>
      <c r="H17" t="s">
        <v>658</v>
      </c>
      <c r="I17" t="s">
        <v>658</v>
      </c>
      <c r="J17" t="s">
        <v>658</v>
      </c>
      <c r="K17">
        <v>61</v>
      </c>
      <c r="L17">
        <v>60</v>
      </c>
      <c r="M17">
        <v>36</v>
      </c>
      <c r="N17">
        <v>71</v>
      </c>
      <c r="O17">
        <v>69</v>
      </c>
      <c r="P17">
        <v>37</v>
      </c>
    </row>
    <row r="18" spans="1:16" x14ac:dyDescent="0.25">
      <c r="A18" t="s">
        <v>643</v>
      </c>
      <c r="B18">
        <v>70</v>
      </c>
      <c r="C18">
        <v>80</v>
      </c>
      <c r="D18">
        <v>40</v>
      </c>
      <c r="E18" t="s">
        <v>675</v>
      </c>
      <c r="F18" t="s">
        <v>675</v>
      </c>
      <c r="G18" t="s">
        <v>673</v>
      </c>
      <c r="H18" t="s">
        <v>658</v>
      </c>
      <c r="I18" t="s">
        <v>658</v>
      </c>
      <c r="J18" t="s">
        <v>658</v>
      </c>
      <c r="K18">
        <v>50</v>
      </c>
      <c r="L18">
        <v>49</v>
      </c>
      <c r="M18">
        <v>34</v>
      </c>
      <c r="N18">
        <v>72</v>
      </c>
      <c r="O18">
        <v>70</v>
      </c>
      <c r="P18">
        <v>39</v>
      </c>
    </row>
    <row r="19" spans="1:16" x14ac:dyDescent="0.25">
      <c r="A19" t="s">
        <v>644</v>
      </c>
      <c r="B19">
        <v>80</v>
      </c>
      <c r="C19">
        <v>80</v>
      </c>
      <c r="D19">
        <v>40</v>
      </c>
      <c r="E19" t="s">
        <v>675</v>
      </c>
      <c r="F19" t="s">
        <v>675</v>
      </c>
      <c r="G19" t="s">
        <v>673</v>
      </c>
      <c r="H19" t="s">
        <v>658</v>
      </c>
      <c r="I19" t="s">
        <v>658</v>
      </c>
      <c r="J19" t="s">
        <v>658</v>
      </c>
      <c r="K19">
        <v>45</v>
      </c>
      <c r="L19">
        <v>48</v>
      </c>
      <c r="M19">
        <v>35</v>
      </c>
      <c r="N19">
        <v>72</v>
      </c>
      <c r="O19">
        <v>69</v>
      </c>
      <c r="P19">
        <v>41</v>
      </c>
    </row>
    <row r="20" spans="1:16" x14ac:dyDescent="0.25">
      <c r="A20" t="s">
        <v>645</v>
      </c>
      <c r="B20">
        <v>70</v>
      </c>
      <c r="C20">
        <v>80</v>
      </c>
      <c r="D20">
        <v>40</v>
      </c>
      <c r="E20" t="s">
        <v>675</v>
      </c>
      <c r="F20" t="s">
        <v>675</v>
      </c>
      <c r="G20" t="s">
        <v>673</v>
      </c>
      <c r="H20" t="s">
        <v>658</v>
      </c>
      <c r="I20" t="s">
        <v>658</v>
      </c>
      <c r="J20" t="s">
        <v>658</v>
      </c>
      <c r="K20">
        <v>46</v>
      </c>
      <c r="L20">
        <v>47</v>
      </c>
      <c r="M20">
        <v>37</v>
      </c>
      <c r="N20">
        <v>73</v>
      </c>
      <c r="O20">
        <v>66</v>
      </c>
      <c r="P20">
        <v>38</v>
      </c>
    </row>
    <row r="21" spans="1:16" x14ac:dyDescent="0.25">
      <c r="A21" t="s">
        <v>646</v>
      </c>
      <c r="B21">
        <v>50</v>
      </c>
      <c r="C21">
        <v>60</v>
      </c>
      <c r="D21">
        <v>20</v>
      </c>
      <c r="E21" t="s">
        <v>675</v>
      </c>
      <c r="F21" t="s">
        <v>675</v>
      </c>
      <c r="G21">
        <v>40</v>
      </c>
      <c r="H21" t="s">
        <v>658</v>
      </c>
      <c r="I21" t="s">
        <v>658</v>
      </c>
      <c r="J21" t="s">
        <v>657</v>
      </c>
      <c r="K21">
        <v>47</v>
      </c>
      <c r="L21">
        <v>46</v>
      </c>
      <c r="M21">
        <v>34</v>
      </c>
      <c r="N21">
        <v>68</v>
      </c>
      <c r="O21">
        <v>58</v>
      </c>
      <c r="P21">
        <v>34</v>
      </c>
    </row>
    <row r="22" spans="1:16" x14ac:dyDescent="0.25">
      <c r="A22" t="s">
        <v>647</v>
      </c>
      <c r="B22">
        <v>50</v>
      </c>
      <c r="C22">
        <v>20</v>
      </c>
      <c r="D22">
        <v>10</v>
      </c>
      <c r="E22" t="s">
        <v>673</v>
      </c>
      <c r="F22">
        <v>50</v>
      </c>
      <c r="G22">
        <v>20</v>
      </c>
      <c r="H22" t="s">
        <v>658</v>
      </c>
      <c r="I22" t="s">
        <v>658</v>
      </c>
      <c r="J22" t="s">
        <v>657</v>
      </c>
      <c r="K22">
        <v>42</v>
      </c>
      <c r="L22">
        <v>44</v>
      </c>
      <c r="M22">
        <v>25</v>
      </c>
      <c r="N22">
        <v>68</v>
      </c>
      <c r="O22">
        <v>47</v>
      </c>
      <c r="P22">
        <v>3</v>
      </c>
    </row>
    <row r="23" spans="1:16" x14ac:dyDescent="0.25">
      <c r="A23" t="s">
        <v>648</v>
      </c>
      <c r="B23">
        <v>30</v>
      </c>
      <c r="C23">
        <v>20</v>
      </c>
      <c r="D23">
        <v>0</v>
      </c>
      <c r="E23" t="s">
        <v>673</v>
      </c>
      <c r="F23">
        <v>30</v>
      </c>
      <c r="G23">
        <v>5</v>
      </c>
      <c r="H23" t="s">
        <v>658</v>
      </c>
      <c r="I23" t="s">
        <v>658</v>
      </c>
      <c r="J23" t="s">
        <v>657</v>
      </c>
      <c r="K23">
        <v>34</v>
      </c>
      <c r="L23">
        <v>36</v>
      </c>
      <c r="M23">
        <v>27</v>
      </c>
      <c r="N23">
        <v>58</v>
      </c>
      <c r="O23">
        <v>43</v>
      </c>
      <c r="P23">
        <v>0</v>
      </c>
    </row>
    <row r="24" spans="1:16" x14ac:dyDescent="0.25">
      <c r="A24" t="s">
        <v>649</v>
      </c>
      <c r="B24">
        <v>30</v>
      </c>
      <c r="C24">
        <v>20</v>
      </c>
      <c r="D24">
        <v>0</v>
      </c>
      <c r="E24">
        <v>50</v>
      </c>
      <c r="F24">
        <v>30</v>
      </c>
      <c r="G24">
        <v>5</v>
      </c>
      <c r="H24" t="s">
        <v>658</v>
      </c>
      <c r="I24" t="s">
        <v>658</v>
      </c>
      <c r="J24" t="s">
        <v>657</v>
      </c>
      <c r="K24">
        <v>33</v>
      </c>
      <c r="L24">
        <v>29</v>
      </c>
      <c r="M24">
        <v>21</v>
      </c>
      <c r="N24">
        <v>54</v>
      </c>
      <c r="O24">
        <v>43</v>
      </c>
      <c r="P24">
        <v>0</v>
      </c>
    </row>
    <row r="25" spans="1:16" x14ac:dyDescent="0.25">
      <c r="A25" t="s">
        <v>650</v>
      </c>
      <c r="B25">
        <v>0</v>
      </c>
      <c r="C25">
        <v>10</v>
      </c>
      <c r="D25">
        <v>0</v>
      </c>
      <c r="E25">
        <v>20</v>
      </c>
      <c r="F25">
        <v>10</v>
      </c>
      <c r="G25">
        <v>5</v>
      </c>
      <c r="H25" t="s">
        <v>657</v>
      </c>
      <c r="I25" t="s">
        <v>658</v>
      </c>
      <c r="J25" t="s">
        <v>657</v>
      </c>
      <c r="K25">
        <v>23</v>
      </c>
      <c r="L25">
        <v>22</v>
      </c>
      <c r="M25">
        <v>16</v>
      </c>
      <c r="N25">
        <v>0</v>
      </c>
      <c r="O25">
        <v>8</v>
      </c>
      <c r="P25">
        <v>0</v>
      </c>
    </row>
    <row r="26" spans="1:16" x14ac:dyDescent="0.25">
      <c r="A26" t="s">
        <v>651</v>
      </c>
      <c r="B26">
        <v>0</v>
      </c>
      <c r="C26">
        <v>0</v>
      </c>
      <c r="D26">
        <v>0</v>
      </c>
      <c r="E26">
        <v>5</v>
      </c>
      <c r="F26">
        <v>5</v>
      </c>
      <c r="G26">
        <v>5</v>
      </c>
      <c r="H26" t="s">
        <v>657</v>
      </c>
      <c r="I26" t="s">
        <v>657</v>
      </c>
      <c r="J26" t="s">
        <v>657</v>
      </c>
      <c r="K26">
        <v>13</v>
      </c>
      <c r="L26">
        <v>16</v>
      </c>
      <c r="M26">
        <v>10</v>
      </c>
      <c r="N26">
        <v>0</v>
      </c>
      <c r="O26">
        <v>0</v>
      </c>
      <c r="P26">
        <v>0</v>
      </c>
    </row>
    <row r="27" spans="1:16" x14ac:dyDescent="0.25">
      <c r="A27" t="s">
        <v>652</v>
      </c>
      <c r="B27">
        <v>0</v>
      </c>
      <c r="C27">
        <v>0</v>
      </c>
      <c r="D27">
        <v>0</v>
      </c>
      <c r="E27">
        <v>5</v>
      </c>
      <c r="F27">
        <v>5</v>
      </c>
      <c r="G27">
        <v>5</v>
      </c>
      <c r="H27" t="s">
        <v>657</v>
      </c>
      <c r="I27" t="s">
        <v>657</v>
      </c>
      <c r="J27" t="s">
        <v>657</v>
      </c>
      <c r="K27">
        <v>8</v>
      </c>
      <c r="L27">
        <v>13</v>
      </c>
      <c r="M27">
        <v>6</v>
      </c>
      <c r="N27">
        <v>0</v>
      </c>
      <c r="O27">
        <v>0</v>
      </c>
      <c r="P27">
        <v>0</v>
      </c>
    </row>
    <row r="28" spans="1:16" x14ac:dyDescent="0.25">
      <c r="A28" t="s">
        <v>659</v>
      </c>
      <c r="B28">
        <f>SUM(B4:B27)</f>
        <v>720</v>
      </c>
      <c r="C28">
        <f t="shared" ref="C28:P28" si="0">SUM(C4:C27)</f>
        <v>750</v>
      </c>
      <c r="D28">
        <f t="shared" si="0"/>
        <v>280</v>
      </c>
      <c r="E28" t="s">
        <v>674</v>
      </c>
      <c r="F28" t="s">
        <v>676</v>
      </c>
      <c r="G28" t="s">
        <v>677</v>
      </c>
      <c r="H28">
        <v>1500</v>
      </c>
      <c r="I28">
        <v>1600</v>
      </c>
      <c r="J28">
        <v>900</v>
      </c>
      <c r="K28">
        <f t="shared" si="0"/>
        <v>662</v>
      </c>
      <c r="L28">
        <f t="shared" si="0"/>
        <v>690</v>
      </c>
      <c r="M28">
        <f t="shared" si="0"/>
        <v>459</v>
      </c>
      <c r="N28">
        <f t="shared" si="0"/>
        <v>844</v>
      </c>
      <c r="O28">
        <f t="shared" si="0"/>
        <v>761</v>
      </c>
      <c r="P28">
        <f t="shared" si="0"/>
        <v>288</v>
      </c>
    </row>
    <row r="29" spans="1:16" x14ac:dyDescent="0.25">
      <c r="A29" t="s">
        <v>660</v>
      </c>
      <c r="B29" s="381">
        <f>((B28/100)*5+C28/100+D28/100)</f>
        <v>46.3</v>
      </c>
      <c r="C29" s="381"/>
      <c r="D29" s="381"/>
      <c r="E29" s="382" t="s">
        <v>678</v>
      </c>
      <c r="F29" s="381"/>
      <c r="G29" s="381"/>
      <c r="H29" s="377">
        <f>((H28/100)*5+I28/100+J28/100)</f>
        <v>100</v>
      </c>
      <c r="I29" s="377"/>
      <c r="J29" s="377"/>
      <c r="K29" s="381">
        <f>((K28/100)*5+L28/100+M28/100)</f>
        <v>44.59</v>
      </c>
      <c r="L29" s="381"/>
      <c r="M29" s="381"/>
      <c r="N29" s="381">
        <f>((N28/100)*5+O28/100+P28/100)</f>
        <v>52.69</v>
      </c>
      <c r="O29" s="381"/>
      <c r="P29" s="381"/>
    </row>
    <row r="30" spans="1:16" x14ac:dyDescent="0.25">
      <c r="A30" t="s">
        <v>661</v>
      </c>
      <c r="B30" s="377">
        <f>B29*52.14</f>
        <v>2414.0819999999999</v>
      </c>
      <c r="C30" s="377"/>
      <c r="D30" s="377"/>
      <c r="E30" s="379" t="s">
        <v>679</v>
      </c>
      <c r="F30" s="377"/>
      <c r="G30" s="377"/>
      <c r="H30" s="377">
        <f>H29*52.14</f>
        <v>5214</v>
      </c>
      <c r="I30" s="377"/>
      <c r="J30" s="377"/>
      <c r="K30" s="377">
        <f>K29*52.14</f>
        <v>2324.9226000000003</v>
      </c>
      <c r="L30" s="377"/>
      <c r="M30" s="377"/>
      <c r="N30" s="377">
        <f>N29*52.14</f>
        <v>2747.2565999999997</v>
      </c>
      <c r="O30" s="377"/>
      <c r="P30" s="377"/>
    </row>
  </sheetData>
  <mergeCells count="20">
    <mergeCell ref="N1:P1"/>
    <mergeCell ref="B2:D2"/>
    <mergeCell ref="E2:G2"/>
    <mergeCell ref="K2:M2"/>
    <mergeCell ref="N2:P2"/>
    <mergeCell ref="A1:A3"/>
    <mergeCell ref="B1:D1"/>
    <mergeCell ref="E1:G1"/>
    <mergeCell ref="H1:J2"/>
    <mergeCell ref="K1:M1"/>
    <mergeCell ref="B30:D30"/>
    <mergeCell ref="E30:G30"/>
    <mergeCell ref="H30:J30"/>
    <mergeCell ref="K30:M30"/>
    <mergeCell ref="N30:P30"/>
    <mergeCell ref="B29:D29"/>
    <mergeCell ref="E29:G29"/>
    <mergeCell ref="H29:J29"/>
    <mergeCell ref="K29:M29"/>
    <mergeCell ref="N29:P29"/>
  </mergeCell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3:L17"/>
  <sheetViews>
    <sheetView view="pageLayout" zoomScaleNormal="115" zoomScaleSheetLayoutView="145" workbookViewId="0">
      <selection activeCell="F8" sqref="F8"/>
    </sheetView>
  </sheetViews>
  <sheetFormatPr defaultRowHeight="15" x14ac:dyDescent="0.25"/>
  <cols>
    <col min="1" max="1" width="2.85546875" customWidth="1"/>
    <col min="2" max="2" width="6" customWidth="1"/>
    <col min="3" max="3" width="6.7109375" customWidth="1"/>
    <col min="4" max="4" width="1.5703125" customWidth="1"/>
    <col min="5" max="6" width="10.7109375" customWidth="1"/>
    <col min="7" max="7" width="7.140625" customWidth="1"/>
    <col min="8" max="9" width="10.7109375" customWidth="1"/>
    <col min="10" max="10" width="7.140625" customWidth="1"/>
    <col min="11" max="11" width="9.42578125" customWidth="1"/>
  </cols>
  <sheetData>
    <row r="3" spans="1:12" ht="15.75" customHeight="1" x14ac:dyDescent="0.25">
      <c r="A3" s="45" t="s">
        <v>690</v>
      </c>
      <c r="B3" s="515" t="s">
        <v>144</v>
      </c>
      <c r="C3" s="516"/>
      <c r="D3" s="516"/>
      <c r="E3" s="516"/>
      <c r="F3" s="516"/>
      <c r="G3" s="516"/>
      <c r="H3" s="516"/>
      <c r="I3" s="516"/>
      <c r="J3" s="516"/>
      <c r="K3" s="516"/>
      <c r="L3" s="517"/>
    </row>
    <row r="4" spans="1:12" s="2" customFormat="1" ht="22.5" customHeight="1" x14ac:dyDescent="0.2">
      <c r="A4" s="522"/>
      <c r="B4" s="523"/>
      <c r="C4" s="522"/>
      <c r="D4" s="523"/>
      <c r="E4" s="521" t="s">
        <v>23</v>
      </c>
      <c r="F4" s="521"/>
      <c r="G4" s="521"/>
      <c r="H4" s="522" t="s">
        <v>24</v>
      </c>
      <c r="I4" s="529"/>
      <c r="J4" s="523"/>
      <c r="K4" s="518" t="s">
        <v>21</v>
      </c>
      <c r="L4" s="518" t="s">
        <v>123</v>
      </c>
    </row>
    <row r="5" spans="1:12" s="2" customFormat="1" ht="22.5" customHeight="1" x14ac:dyDescent="0.2">
      <c r="A5" s="524"/>
      <c r="B5" s="525"/>
      <c r="C5" s="524"/>
      <c r="D5" s="525"/>
      <c r="E5" s="526" t="s">
        <v>222</v>
      </c>
      <c r="F5" s="527"/>
      <c r="G5" s="528"/>
      <c r="H5" s="524"/>
      <c r="I5" s="530"/>
      <c r="J5" s="525"/>
      <c r="K5" s="519"/>
      <c r="L5" s="519"/>
    </row>
    <row r="6" spans="1:12" s="2" customFormat="1" ht="23.25" customHeight="1" x14ac:dyDescent="0.2">
      <c r="A6" s="521" t="s">
        <v>104</v>
      </c>
      <c r="B6" s="521"/>
      <c r="C6" s="521" t="s">
        <v>105</v>
      </c>
      <c r="D6" s="521"/>
      <c r="E6" s="521" t="s">
        <v>424</v>
      </c>
      <c r="F6" s="521" t="s">
        <v>106</v>
      </c>
      <c r="G6" s="521"/>
      <c r="H6" s="521" t="s">
        <v>424</v>
      </c>
      <c r="I6" s="521" t="s">
        <v>106</v>
      </c>
      <c r="J6" s="521"/>
      <c r="K6" s="519"/>
      <c r="L6" s="519"/>
    </row>
    <row r="7" spans="1:12" s="2" customFormat="1" ht="11.25" x14ac:dyDescent="0.2">
      <c r="A7" s="521"/>
      <c r="B7" s="521"/>
      <c r="C7" s="521"/>
      <c r="D7" s="521"/>
      <c r="E7" s="521"/>
      <c r="F7" s="43" t="s">
        <v>425</v>
      </c>
      <c r="G7" s="43" t="s">
        <v>107</v>
      </c>
      <c r="H7" s="521"/>
      <c r="I7" s="43" t="s">
        <v>425</v>
      </c>
      <c r="J7" s="43" t="s">
        <v>107</v>
      </c>
      <c r="K7" s="520"/>
      <c r="L7" s="520"/>
    </row>
    <row r="8" spans="1:12" s="2" customFormat="1" ht="15" customHeight="1" x14ac:dyDescent="0.2">
      <c r="A8" s="521"/>
      <c r="B8" s="521"/>
      <c r="C8" s="521" t="s">
        <v>108</v>
      </c>
      <c r="D8" s="521"/>
      <c r="E8" s="150"/>
      <c r="F8" s="150"/>
      <c r="G8" s="92" t="str">
        <f>IF(AND(E8="",F8=""),"",F8/E8*100)</f>
        <v/>
      </c>
      <c r="H8" s="150"/>
      <c r="I8" s="150"/>
      <c r="J8" s="92" t="str">
        <f>IF(AND(H8="",I8=""),"",I8/H8*100)</f>
        <v/>
      </c>
      <c r="K8" s="150"/>
      <c r="L8" s="150" t="s">
        <v>691</v>
      </c>
    </row>
    <row r="9" spans="1:12" s="2" customFormat="1" ht="15" customHeight="1" x14ac:dyDescent="0.2">
      <c r="A9" s="521"/>
      <c r="B9" s="521"/>
      <c r="C9" s="521" t="s">
        <v>109</v>
      </c>
      <c r="D9" s="521"/>
      <c r="E9" s="150"/>
      <c r="F9" s="150"/>
      <c r="G9" s="92" t="str">
        <f t="shared" ref="G9:G11" si="0">IF(AND(E9="",F9=""),"",F9/E9*100)</f>
        <v/>
      </c>
      <c r="H9" s="150"/>
      <c r="I9" s="150"/>
      <c r="J9" s="92" t="str">
        <f t="shared" ref="J9:J12" si="1">IF(AND(H9="",I9=""),"",I9/H9*100)</f>
        <v/>
      </c>
      <c r="K9" s="150"/>
      <c r="L9" s="150" t="s">
        <v>691</v>
      </c>
    </row>
    <row r="10" spans="1:12" s="2" customFormat="1" ht="15" customHeight="1" x14ac:dyDescent="0.2">
      <c r="A10" s="521"/>
      <c r="B10" s="521"/>
      <c r="C10" s="521" t="s">
        <v>110</v>
      </c>
      <c r="D10" s="521"/>
      <c r="E10" s="150"/>
      <c r="F10" s="150"/>
      <c r="G10" s="92" t="str">
        <f t="shared" si="0"/>
        <v/>
      </c>
      <c r="H10" s="150"/>
      <c r="I10" s="150"/>
      <c r="J10" s="92" t="str">
        <f t="shared" si="1"/>
        <v/>
      </c>
      <c r="K10" s="150"/>
      <c r="L10" s="150" t="s">
        <v>691</v>
      </c>
    </row>
    <row r="11" spans="1:12" s="2" customFormat="1" ht="15" customHeight="1" x14ac:dyDescent="0.2">
      <c r="A11" s="521"/>
      <c r="B11" s="521"/>
      <c r="C11" s="521" t="s">
        <v>111</v>
      </c>
      <c r="D11" s="521"/>
      <c r="E11" s="150"/>
      <c r="F11" s="150"/>
      <c r="G11" s="92" t="str">
        <f t="shared" si="0"/>
        <v/>
      </c>
      <c r="H11" s="150"/>
      <c r="I11" s="150"/>
      <c r="J11" s="92" t="str">
        <f t="shared" si="1"/>
        <v/>
      </c>
      <c r="K11" s="150"/>
      <c r="L11" s="150" t="s">
        <v>691</v>
      </c>
    </row>
    <row r="12" spans="1:12" ht="15" customHeight="1" x14ac:dyDescent="0.25">
      <c r="A12" s="521"/>
      <c r="B12" s="521"/>
      <c r="C12" s="531" t="s">
        <v>54</v>
      </c>
      <c r="D12" s="531"/>
      <c r="E12" s="93" t="str">
        <f>IF(SUM(E8:E11)=0,"",SUM(E8:E11))</f>
        <v/>
      </c>
      <c r="F12" s="93" t="str">
        <f>IF(SUM(F8:F11)=0,"",SUM(F8:F11))</f>
        <v/>
      </c>
      <c r="G12" s="92" t="str">
        <f>IF(AND(E12="",F12=""),"",F12/E12*100)</f>
        <v/>
      </c>
      <c r="H12" s="93" t="str">
        <f>IF(SUM(H8:H11)=0,"",SUM(H8:H11))</f>
        <v/>
      </c>
      <c r="I12" s="93" t="str">
        <f>IF(SUM(I8:I11)=0,"",SUM(I8:I11))</f>
        <v/>
      </c>
      <c r="J12" s="92" t="str">
        <f t="shared" si="1"/>
        <v/>
      </c>
      <c r="K12" s="150"/>
      <c r="L12" s="150" t="s">
        <v>691</v>
      </c>
    </row>
    <row r="13" spans="1:12" ht="22.5" customHeight="1" x14ac:dyDescent="0.25">
      <c r="A13" s="521" t="s">
        <v>112</v>
      </c>
      <c r="B13" s="521"/>
      <c r="C13" s="521" t="s">
        <v>426</v>
      </c>
      <c r="D13" s="521"/>
      <c r="E13" s="521"/>
      <c r="F13" s="521" t="s">
        <v>113</v>
      </c>
      <c r="G13" s="521"/>
      <c r="H13" s="521" t="s">
        <v>426</v>
      </c>
      <c r="I13" s="521" t="s">
        <v>113</v>
      </c>
      <c r="J13" s="521"/>
      <c r="K13" s="521" t="s">
        <v>21</v>
      </c>
      <c r="L13" s="521" t="s">
        <v>123</v>
      </c>
    </row>
    <row r="14" spans="1:12" ht="15" customHeight="1" x14ac:dyDescent="0.25">
      <c r="A14" s="521"/>
      <c r="B14" s="521"/>
      <c r="C14" s="521"/>
      <c r="D14" s="521"/>
      <c r="E14" s="521"/>
      <c r="F14" s="43" t="s">
        <v>425</v>
      </c>
      <c r="G14" s="43" t="s">
        <v>107</v>
      </c>
      <c r="H14" s="521"/>
      <c r="I14" s="43" t="s">
        <v>425</v>
      </c>
      <c r="J14" s="43" t="s">
        <v>107</v>
      </c>
      <c r="K14" s="521"/>
      <c r="L14" s="521"/>
    </row>
    <row r="15" spans="1:12" ht="15" customHeight="1" x14ac:dyDescent="0.25">
      <c r="A15" s="521"/>
      <c r="B15" s="521"/>
      <c r="C15" s="531" t="s">
        <v>54</v>
      </c>
      <c r="D15" s="531"/>
      <c r="E15" s="151"/>
      <c r="F15" s="152"/>
      <c r="G15" s="92" t="str">
        <f>IF(AND(E15="",F15=""),"",F15/E15*100)</f>
        <v/>
      </c>
      <c r="H15" s="150"/>
      <c r="I15" s="150"/>
      <c r="J15" s="92" t="str">
        <f t="shared" ref="J15" si="2">IF(AND(H15="",I15=""),"",I15/H15*100)</f>
        <v/>
      </c>
      <c r="K15" s="150"/>
      <c r="L15" s="150" t="s">
        <v>691</v>
      </c>
    </row>
    <row r="16" spans="1:12" x14ac:dyDescent="0.25">
      <c r="A16" s="2"/>
      <c r="B16" s="2"/>
      <c r="C16" s="2"/>
      <c r="D16" s="2"/>
      <c r="E16" s="2"/>
      <c r="F16" s="2"/>
      <c r="G16" s="2"/>
      <c r="H16" s="2"/>
      <c r="I16" s="2"/>
    </row>
    <row r="17" spans="1:9" x14ac:dyDescent="0.25">
      <c r="A17" s="2"/>
      <c r="B17" s="2"/>
      <c r="C17" s="2"/>
      <c r="D17" s="2"/>
      <c r="E17" s="2"/>
      <c r="F17" s="2"/>
      <c r="G17" s="2"/>
      <c r="H17" s="2"/>
      <c r="I17" s="2"/>
    </row>
  </sheetData>
  <sheetProtection password="C5B9" sheet="1" objects="1" scenarios="1"/>
  <mergeCells count="27">
    <mergeCell ref="K13:K14"/>
    <mergeCell ref="L13:L14"/>
    <mergeCell ref="A13:B15"/>
    <mergeCell ref="C15:D15"/>
    <mergeCell ref="C6:D7"/>
    <mergeCell ref="E6:E7"/>
    <mergeCell ref="F6:G6"/>
    <mergeCell ref="C8:D8"/>
    <mergeCell ref="C9:D9"/>
    <mergeCell ref="C10:D10"/>
    <mergeCell ref="C11:D11"/>
    <mergeCell ref="C12:D12"/>
    <mergeCell ref="I13:J13"/>
    <mergeCell ref="C13:E14"/>
    <mergeCell ref="F13:G13"/>
    <mergeCell ref="H13:H14"/>
    <mergeCell ref="B3:L3"/>
    <mergeCell ref="K4:K7"/>
    <mergeCell ref="L4:L7"/>
    <mergeCell ref="E4:G4"/>
    <mergeCell ref="A6:B12"/>
    <mergeCell ref="A4:B5"/>
    <mergeCell ref="C4:D5"/>
    <mergeCell ref="E5:G5"/>
    <mergeCell ref="H4:J5"/>
    <mergeCell ref="I6:J6"/>
    <mergeCell ref="H6:H7"/>
  </mergeCells>
  <conditionalFormatting sqref="E12">
    <cfRule type="cellIs" dxfId="7" priority="10" operator="notEqual">
      <formula>$H$12</formula>
    </cfRule>
  </conditionalFormatting>
  <conditionalFormatting sqref="G12">
    <cfRule type="expression" dxfId="6" priority="1">
      <formula>"&gt;3.0"</formula>
    </cfRule>
    <cfRule type="containsBlanks" dxfId="5" priority="4">
      <formula>LEN(TRIM(G12))=0</formula>
    </cfRule>
  </conditionalFormatting>
  <conditionalFormatting sqref="G15">
    <cfRule type="containsBlanks" dxfId="4" priority="2">
      <formula>LEN(TRIM(G15))=0</formula>
    </cfRule>
    <cfRule type="cellIs" dxfId="3" priority="3" operator="greaterThan">
      <formula>3</formula>
    </cfRule>
  </conditionalFormatting>
  <pageMargins left="0.7" right="0.7" top="0.75" bottom="0.75" header="0.3" footer="0.3"/>
  <pageSetup scale="97" orientation="portrait" r:id="rId1"/>
  <headerFooter>
    <oddHeader>&amp;L&amp;G&amp;C&amp;G</oddHeader>
    <oddFooter>&amp;RNovember 2016</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5" id="{F94EB13A-0019-4251-AB0C-18379777F88F}">
            <xm:f>IF(OR('4. Purchased Energy Rates'!$B$4="Section 11 ECB",$E$5="Multifamily",$E$5="Other"),G12&gt;40,G12&gt;VLOOKUP($E$5,Lists!$M$22:$N$36,2))</xm:f>
            <x14:dxf>
              <fill>
                <patternFill>
                  <bgColor rgb="FFFF0000"/>
                </patternFill>
              </fill>
            </x14:dxf>
          </x14:cfRule>
          <xm:sqref>G12</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Lists!$M$22:$M$38</xm:f>
          </x14:formula1>
          <xm:sqref>E5:G5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3:N16"/>
  <sheetViews>
    <sheetView view="pageLayout" topLeftCell="A34" zoomScaleNormal="100" zoomScaleSheetLayoutView="100" workbookViewId="0">
      <selection activeCell="I10" sqref="I10"/>
    </sheetView>
  </sheetViews>
  <sheetFormatPr defaultRowHeight="15" x14ac:dyDescent="0.25"/>
  <cols>
    <col min="1" max="1" width="2.7109375" customWidth="1"/>
    <col min="2" max="2" width="5.28515625" customWidth="1"/>
    <col min="3" max="3" width="10.5703125" customWidth="1"/>
    <col min="4" max="4" width="2.140625" customWidth="1"/>
    <col min="5" max="5" width="17.42578125" customWidth="1"/>
    <col min="6" max="7" width="6.7109375" bestFit="1" customWidth="1"/>
    <col min="8" max="8" width="5.7109375" customWidth="1"/>
    <col min="9" max="9" width="10.7109375" customWidth="1"/>
    <col min="10" max="10" width="5.5703125" customWidth="1"/>
    <col min="11" max="12" width="5.7109375" customWidth="1"/>
    <col min="13" max="13" width="14.85546875" customWidth="1"/>
    <col min="14" max="14" width="15.140625" customWidth="1"/>
  </cols>
  <sheetData>
    <row r="3" spans="1:14" ht="15.75" customHeight="1" x14ac:dyDescent="0.25">
      <c r="A3" s="48" t="s">
        <v>693</v>
      </c>
      <c r="B3" s="436" t="s">
        <v>145</v>
      </c>
      <c r="C3" s="437"/>
      <c r="D3" s="437"/>
      <c r="E3" s="437"/>
      <c r="F3" s="437"/>
      <c r="G3" s="437"/>
      <c r="H3" s="437"/>
      <c r="I3" s="437"/>
      <c r="J3" s="437"/>
      <c r="K3" s="437"/>
      <c r="L3" s="437"/>
      <c r="M3" s="437"/>
      <c r="N3" s="451"/>
    </row>
    <row r="4" spans="1:14" s="2" customFormat="1" ht="22.5" customHeight="1" x14ac:dyDescent="0.2">
      <c r="A4" s="435" t="s">
        <v>0</v>
      </c>
      <c r="B4" s="435"/>
      <c r="C4" s="435" t="s">
        <v>146</v>
      </c>
      <c r="D4" s="46"/>
      <c r="E4" s="435" t="s">
        <v>23</v>
      </c>
      <c r="F4" s="435"/>
      <c r="G4" s="435"/>
      <c r="H4" s="435"/>
      <c r="I4" s="435" t="s">
        <v>24</v>
      </c>
      <c r="J4" s="435"/>
      <c r="K4" s="435"/>
      <c r="L4" s="435"/>
      <c r="M4" s="532" t="s">
        <v>21</v>
      </c>
      <c r="N4" s="532" t="s">
        <v>123</v>
      </c>
    </row>
    <row r="5" spans="1:14" s="2" customFormat="1" ht="22.5" x14ac:dyDescent="0.2">
      <c r="A5" s="435"/>
      <c r="B5" s="435"/>
      <c r="C5" s="435"/>
      <c r="D5" s="47" t="s">
        <v>147</v>
      </c>
      <c r="E5" s="46" t="s">
        <v>157</v>
      </c>
      <c r="F5" s="46" t="s">
        <v>154</v>
      </c>
      <c r="G5" s="46" t="s">
        <v>114</v>
      </c>
      <c r="H5" s="46" t="s">
        <v>115</v>
      </c>
      <c r="I5" s="46" t="s">
        <v>148</v>
      </c>
      <c r="J5" s="46" t="s">
        <v>154</v>
      </c>
      <c r="K5" s="46" t="s">
        <v>114</v>
      </c>
      <c r="L5" s="46" t="s">
        <v>115</v>
      </c>
      <c r="M5" s="533"/>
      <c r="N5" s="533"/>
    </row>
    <row r="6" spans="1:14" s="2" customFormat="1" ht="24" customHeight="1" x14ac:dyDescent="0.2">
      <c r="A6" s="435" t="s">
        <v>155</v>
      </c>
      <c r="B6" s="435"/>
      <c r="C6" s="136"/>
      <c r="D6" s="46">
        <v>1</v>
      </c>
      <c r="E6" s="136"/>
      <c r="F6" s="94" t="str">
        <f>IF(C6="","",IF(E6="","",IF('4. Purchased Energy Rates'!$B$4="Section 11 ECB",INDEX(Lists!$A$4:$D$8,(MATCH($E6,Lists!$A$4:$A$8,0)),(MATCH($C6,Lists!$A$4:$D$4,0))),INDEX(Lists!$F$4:$I$8,(MATCH($E6,Lists!$F$4:$F$8,0)),(MATCH($C6,Lists!$F$4:$I$4,0))))))</f>
        <v/>
      </c>
      <c r="G6" s="95" t="str">
        <f>IF(C6="","",IF(E6="","",IF('4. Purchased Energy Rates'!$B$4="Section 11 ECB",INDEX(Lists!$A$10:$D$14,(MATCH($E6,Lists!$A$10:$A$14,0)),(MATCH($C6,Lists!$A$10:$D$10,0))),INDEX(Lists!$F$10:$I$14,(MATCH($E6,Lists!$F$10:$F$14,0)),(MATCH($C6,Lists!$F$10:$I$10,0))))))</f>
        <v/>
      </c>
      <c r="H6" s="95" t="str">
        <f>IF(L6="","",L6)</f>
        <v/>
      </c>
      <c r="I6" s="153"/>
      <c r="J6" s="153"/>
      <c r="K6" s="153"/>
      <c r="L6" s="153"/>
      <c r="M6" s="153"/>
      <c r="N6" s="153" t="s">
        <v>694</v>
      </c>
    </row>
    <row r="7" spans="1:14" s="2" customFormat="1" ht="24" customHeight="1" x14ac:dyDescent="0.2">
      <c r="A7" s="435" t="s">
        <v>155</v>
      </c>
      <c r="B7" s="435"/>
      <c r="C7" s="136"/>
      <c r="D7" s="46">
        <v>2</v>
      </c>
      <c r="E7" s="136"/>
      <c r="F7" s="94" t="str">
        <f>IF(C7="","",IF(E7="","",IF('4. Purchased Energy Rates'!$B$4="Section 11 ECB",INDEX(Lists!$A$4:$D$8,(MATCH($E7,Lists!$A$4:$A$8,0)),(MATCH($C7,Lists!$A$4:$D$4,0))),INDEX(Lists!$F$4:$I$8,(MATCH($E7,Lists!$F$4:$F$8,0)),(MATCH($C7,Lists!$F$4:$I$4,0))))))</f>
        <v/>
      </c>
      <c r="G7" s="95" t="str">
        <f>IF(C7="","",IF(E7="","",IF('4. Purchased Energy Rates'!$B$4="Section 11 ECB",INDEX(Lists!$A$10:$D$14,(MATCH($E7,Lists!$A$10:$A$14,0)),(MATCH($C7,Lists!$A$10:$D$10,0))),INDEX(Lists!$F$10:$I$14,(MATCH($E7,Lists!$F$10:$F$14,0)),(MATCH($C7,Lists!$F$10:$I$10,0))))))</f>
        <v/>
      </c>
      <c r="H7" s="95" t="str">
        <f t="shared" ref="H7:H14" si="0">IF(L7="","",L7)</f>
        <v/>
      </c>
      <c r="I7" s="153"/>
      <c r="J7" s="153"/>
      <c r="K7" s="153"/>
      <c r="L7" s="153"/>
      <c r="M7" s="153"/>
      <c r="N7" s="153" t="s">
        <v>694</v>
      </c>
    </row>
    <row r="8" spans="1:14" s="2" customFormat="1" ht="24" customHeight="1" x14ac:dyDescent="0.2">
      <c r="A8" s="435" t="s">
        <v>155</v>
      </c>
      <c r="B8" s="435"/>
      <c r="C8" s="136"/>
      <c r="D8" s="46">
        <v>3</v>
      </c>
      <c r="E8" s="136"/>
      <c r="F8" s="94" t="str">
        <f>IF(C8="","",IF(E8="","",IF('4. Purchased Energy Rates'!$B$4="Section 11 ECB",INDEX(Lists!$A$4:$D$8,(MATCH($E8,Lists!$A$4:$A$8,0)),(MATCH($C8,Lists!$A$4:$D$4,0))),INDEX(Lists!$F$4:$I$8,(MATCH($E8,Lists!$F$4:$F$8,0)),(MATCH($C8,Lists!$F$4:$I$4,0))))))</f>
        <v/>
      </c>
      <c r="G8" s="95" t="str">
        <f>IF(C8="","",IF(E8="","",IF('4. Purchased Energy Rates'!$B$4="Section 11 ECB",INDEX(Lists!$A$10:$D$14,(MATCH($E8,Lists!$A$10:$A$14,0)),(MATCH($C8,Lists!$A$10:$D$10,0))),INDEX(Lists!$F$10:$I$14,(MATCH($E8,Lists!$F$10:$F$14,0)),(MATCH($C8,Lists!$F$10:$I$10,0))))))</f>
        <v/>
      </c>
      <c r="H8" s="95" t="str">
        <f t="shared" si="0"/>
        <v/>
      </c>
      <c r="I8" s="153"/>
      <c r="J8" s="153"/>
      <c r="K8" s="153"/>
      <c r="L8" s="153"/>
      <c r="M8" s="153"/>
      <c r="N8" s="132"/>
    </row>
    <row r="9" spans="1:14" s="2" customFormat="1" ht="24" customHeight="1" x14ac:dyDescent="0.2">
      <c r="A9" s="435" t="s">
        <v>155</v>
      </c>
      <c r="B9" s="435"/>
      <c r="C9" s="136"/>
      <c r="D9" s="46">
        <v>4</v>
      </c>
      <c r="E9" s="136"/>
      <c r="F9" s="94" t="str">
        <f>IF(C9="","",IF(E9="","",IF('4. Purchased Energy Rates'!$B$4="Section 11 ECB",INDEX(Lists!$A$4:$D$8,(MATCH($E9,Lists!$A$4:$A$8,0)),(MATCH($C9,Lists!$A$4:$D$4,0))),INDEX(Lists!$F$4:$I$8,(MATCH($E9,Lists!$F$4:$F$8,0)),(MATCH($C9,Lists!$F$4:$I$4,0))))))</f>
        <v/>
      </c>
      <c r="G9" s="95" t="str">
        <f>IF(C9="","",IF(E9="","",IF('4. Purchased Energy Rates'!$B$4="Section 11 ECB",INDEX(Lists!$A$10:$D$14,(MATCH($E9,Lists!$A$10:$A$14,0)),(MATCH($C9,Lists!$A$10:$D$10,0))),INDEX(Lists!$F$10:$I$14,(MATCH($E9,Lists!$F$10:$F$14,0)),(MATCH($C9,Lists!$F$10:$I$10,0))))))</f>
        <v/>
      </c>
      <c r="H9" s="95" t="str">
        <f t="shared" si="0"/>
        <v/>
      </c>
      <c r="I9" s="153"/>
      <c r="J9" s="153"/>
      <c r="K9" s="153"/>
      <c r="L9" s="153"/>
      <c r="M9" s="153"/>
      <c r="N9" s="132"/>
    </row>
    <row r="10" spans="1:14" s="2" customFormat="1" ht="24" customHeight="1" x14ac:dyDescent="0.2">
      <c r="A10" s="435" t="s">
        <v>155</v>
      </c>
      <c r="B10" s="435"/>
      <c r="C10" s="136"/>
      <c r="D10" s="46">
        <v>5</v>
      </c>
      <c r="E10" s="136"/>
      <c r="F10" s="94" t="str">
        <f>IF(C10="","",IF(E10="","",IF('4. Purchased Energy Rates'!$B$4="Section 11 ECB",INDEX(Lists!$A$4:$D$8,(MATCH($E10,Lists!$A$4:$A$8,0)),(MATCH($C10,Lists!$A$4:$D$4,0))),INDEX(Lists!$F$4:$I$8,(MATCH($E10,Lists!$F$4:$F$8,0)),(MATCH($C10,Lists!$F$4:$I$4,0))))))</f>
        <v/>
      </c>
      <c r="G10" s="95" t="str">
        <f>IF(C10="","",IF(E10="","",IF('4. Purchased Energy Rates'!$B$4="Section 11 ECB",INDEX(Lists!$A$10:$D$14,(MATCH($E10,Lists!$A$10:$A$14,0)),(MATCH($C10,Lists!$A$10:$D$10,0))),INDEX(Lists!$F$10:$I$14,(MATCH($E10,Lists!$F$10:$F$14,0)),(MATCH($C10,Lists!$F$10:$I$10,0))))))</f>
        <v/>
      </c>
      <c r="H10" s="95" t="str">
        <f t="shared" si="0"/>
        <v/>
      </c>
      <c r="I10" s="153"/>
      <c r="J10" s="153"/>
      <c r="K10" s="153"/>
      <c r="L10" s="153"/>
      <c r="M10" s="153"/>
      <c r="N10" s="132"/>
    </row>
    <row r="11" spans="1:14" ht="24" customHeight="1" x14ac:dyDescent="0.25">
      <c r="A11" s="435" t="s">
        <v>155</v>
      </c>
      <c r="B11" s="435"/>
      <c r="C11" s="136"/>
      <c r="D11" s="46">
        <v>6</v>
      </c>
      <c r="E11" s="136"/>
      <c r="F11" s="94" t="str">
        <f>IF(C11="","",IF(E11="","",IF('4. Purchased Energy Rates'!$B$4="Section 11 ECB",INDEX(Lists!$A$4:$D$8,(MATCH($E11,Lists!$A$4:$A$8,0)),(MATCH($C11,Lists!$A$4:$D$4,0))),INDEX(Lists!$F$4:$I$8,(MATCH($E11,Lists!$F$4:$F$8,0)),(MATCH($C11,Lists!$F$4:$I$4,0))))))</f>
        <v/>
      </c>
      <c r="G11" s="95" t="str">
        <f>IF(C11="","",IF(E11="","",IF('4. Purchased Energy Rates'!$B$4="Section 11 ECB",INDEX(Lists!$A$10:$D$14,(MATCH($E11,Lists!$A$10:$A$14,0)),(MATCH($C11,Lists!$A$10:$D$10,0))),INDEX(Lists!$F$10:$I$14,(MATCH($E11,Lists!$F$10:$F$14,0)),(MATCH($C11,Lists!$F$10:$I$10,0))))))</f>
        <v/>
      </c>
      <c r="H11" s="95" t="str">
        <f t="shared" si="0"/>
        <v/>
      </c>
      <c r="I11" s="153"/>
      <c r="J11" s="153"/>
      <c r="K11" s="153"/>
      <c r="L11" s="153"/>
      <c r="M11" s="153"/>
      <c r="N11" s="153"/>
    </row>
    <row r="12" spans="1:14" ht="24" customHeight="1" x14ac:dyDescent="0.25">
      <c r="A12" s="435" t="s">
        <v>155</v>
      </c>
      <c r="B12" s="435"/>
      <c r="C12" s="136"/>
      <c r="D12" s="46">
        <v>7</v>
      </c>
      <c r="E12" s="136"/>
      <c r="F12" s="94" t="str">
        <f>IF(C12="","",IF(E12="","",IF('4. Purchased Energy Rates'!$B$4="Section 11 ECB",INDEX(Lists!$A$4:$D$8,(MATCH($E12,Lists!$A$4:$A$8,0)),(MATCH($C12,Lists!$A$4:$D$4,0))),INDEX(Lists!$F$4:$I$8,(MATCH($E12,Lists!$F$4:$F$8,0)),(MATCH($C12,Lists!$F$4:$I$4,0))))))</f>
        <v/>
      </c>
      <c r="G12" s="95" t="str">
        <f>IF(C12="","",IF(E12="","",IF('4. Purchased Energy Rates'!$B$4="Section 11 ECB",INDEX(Lists!$A$10:$D$14,(MATCH($E12,Lists!$A$10:$A$14,0)),(MATCH($C12,Lists!$A$10:$D$10,0))),INDEX(Lists!$F$10:$I$14,(MATCH($E12,Lists!$F$10:$F$14,0)),(MATCH($C12,Lists!$F$10:$I$10,0))))))</f>
        <v/>
      </c>
      <c r="H12" s="95" t="str">
        <f t="shared" si="0"/>
        <v/>
      </c>
      <c r="I12" s="153"/>
      <c r="J12" s="153"/>
      <c r="K12" s="153"/>
      <c r="L12" s="153"/>
      <c r="M12" s="153"/>
      <c r="N12" s="153"/>
    </row>
    <row r="13" spans="1:14" ht="24" customHeight="1" x14ac:dyDescent="0.25">
      <c r="A13" s="435" t="s">
        <v>156</v>
      </c>
      <c r="B13" s="435"/>
      <c r="C13" s="136"/>
      <c r="D13" s="46">
        <v>1</v>
      </c>
      <c r="E13" s="136"/>
      <c r="F13" s="94" t="str">
        <f>IF(C13="","",IF(E13="","",IF('4. Purchased Energy Rates'!$B$4="Section 11 ECB",INDEX(Lists!$A$16:$D$18,(MATCH($E13,Lists!$A$16:$A$18,0)),(MATCH($C13,Lists!$A$16:$D$16,0))),INDEX(Lists!$F$16:$I$18,(MATCH($E13,Lists!$F$16:$F$18,0)),(MATCH($C13,Lists!$F$16:$I$16,0))))))</f>
        <v/>
      </c>
      <c r="G13" s="95" t="str">
        <f>IF(C13="","",IF(E13="","",IF('4. Purchased Energy Rates'!$B$4="Section 11 ECB",INDEX(Lists!$A$20:$D$22,(MATCH($E13,Lists!$A$20:$A$22,0)),(MATCH($C13,Lists!$A$20:$D$20,0))),INDEX(Lists!$F$20:$I$22,(MATCH($E13,Lists!$F$20:$F$22,0)),(MATCH($C13,Lists!$F$20:$I$20,0))))))</f>
        <v/>
      </c>
      <c r="H13" s="95" t="str">
        <f t="shared" si="0"/>
        <v/>
      </c>
      <c r="I13" s="153"/>
      <c r="J13" s="153"/>
      <c r="K13" s="153"/>
      <c r="L13" s="153"/>
      <c r="M13" s="153"/>
      <c r="N13" s="153" t="s">
        <v>694</v>
      </c>
    </row>
    <row r="14" spans="1:14" ht="24" customHeight="1" x14ac:dyDescent="0.25">
      <c r="A14" s="435" t="s">
        <v>156</v>
      </c>
      <c r="B14" s="435"/>
      <c r="C14" s="136"/>
      <c r="D14" s="46">
        <v>2</v>
      </c>
      <c r="E14" s="136"/>
      <c r="F14" s="94" t="str">
        <f>IF(C14="","",IF(E14="","",IF('4. Purchased Energy Rates'!$B$4="Section 11 ECB",INDEX(Lists!$A$16:$D$18,(MATCH($E14,Lists!$A$16:$A$18,0)),(MATCH($C14,Lists!$A$16:$D$16,0))),INDEX(Lists!$F$16:$I$18,(MATCH($E14,Lists!$F$16:$F$18,0)),(MATCH($C14,Lists!$F$16:$I$16,0))))))</f>
        <v/>
      </c>
      <c r="G14" s="95" t="str">
        <f>IF(C14="","",IF(E14="","",IF('4. Purchased Energy Rates'!$B$4="Section 11 ECB",INDEX(Lists!$A$20:$D$22,(MATCH($E14,Lists!$A$20:$A$22,0)),(MATCH($C14,Lists!$A$20:$D$20,0))),INDEX(Lists!$F$20:$I$22,(MATCH($E14,Lists!$F$20:$F$22,0)),(MATCH($C14,Lists!$F$20:$I$20,0))))))</f>
        <v/>
      </c>
      <c r="H14" s="95" t="str">
        <f t="shared" si="0"/>
        <v/>
      </c>
      <c r="I14" s="153"/>
      <c r="J14" s="153"/>
      <c r="K14" s="153"/>
      <c r="L14" s="153"/>
      <c r="M14" s="153"/>
      <c r="N14" s="153"/>
    </row>
    <row r="15" spans="1:14" ht="27" customHeight="1" x14ac:dyDescent="0.25">
      <c r="A15" s="440" t="s">
        <v>116</v>
      </c>
      <c r="B15" s="441"/>
      <c r="C15" s="452"/>
      <c r="D15" s="444"/>
      <c r="E15" s="439" t="s">
        <v>427</v>
      </c>
      <c r="F15" s="439"/>
      <c r="G15" s="439"/>
      <c r="H15" s="439"/>
      <c r="I15" s="438" t="s">
        <v>117</v>
      </c>
      <c r="J15" s="438"/>
      <c r="K15" s="438"/>
      <c r="L15" s="438"/>
      <c r="M15" s="534"/>
      <c r="N15" s="534"/>
    </row>
    <row r="16" spans="1:14" ht="32.25" customHeight="1" x14ac:dyDescent="0.25">
      <c r="A16" s="442"/>
      <c r="B16" s="443"/>
      <c r="C16" s="453"/>
      <c r="D16" s="444"/>
      <c r="E16" s="439" t="s">
        <v>428</v>
      </c>
      <c r="F16" s="439"/>
      <c r="G16" s="439"/>
      <c r="H16" s="439"/>
      <c r="I16" s="438"/>
      <c r="J16" s="438"/>
      <c r="K16" s="438"/>
      <c r="L16" s="438"/>
      <c r="M16" s="534"/>
      <c r="N16" s="534"/>
    </row>
  </sheetData>
  <sheetProtection password="C5B9" sheet="1" objects="1" scenarios="1"/>
  <mergeCells count="23">
    <mergeCell ref="A15:C16"/>
    <mergeCell ref="M15:M16"/>
    <mergeCell ref="N15:N16"/>
    <mergeCell ref="D15:D16"/>
    <mergeCell ref="E15:H15"/>
    <mergeCell ref="E16:H16"/>
    <mergeCell ref="I15:L16"/>
    <mergeCell ref="B3:N3"/>
    <mergeCell ref="A6:B6"/>
    <mergeCell ref="A7:B7"/>
    <mergeCell ref="A8:B8"/>
    <mergeCell ref="A9:B9"/>
    <mergeCell ref="A12:B12"/>
    <mergeCell ref="A13:B13"/>
    <mergeCell ref="A14:B14"/>
    <mergeCell ref="M4:M5"/>
    <mergeCell ref="N4:N5"/>
    <mergeCell ref="A11:B11"/>
    <mergeCell ref="A4:B5"/>
    <mergeCell ref="C4:C5"/>
    <mergeCell ref="E4:H4"/>
    <mergeCell ref="I4:L4"/>
    <mergeCell ref="A10:B10"/>
  </mergeCells>
  <dataValidations count="2">
    <dataValidation type="list" allowBlank="1" showInputMessage="1" showErrorMessage="1" sqref="C6:C14">
      <formula1>Env_Type</formula1>
    </dataValidation>
    <dataValidation type="list" allowBlank="1" showInputMessage="1" showErrorMessage="1" sqref="E6:E12">
      <formula1>Fenestration</formula1>
    </dataValidation>
  </dataValidations>
  <pageMargins left="0.7" right="0.7" top="0.75" bottom="0.75" header="0.3" footer="0.3"/>
  <pageSetup orientation="landscape" r:id="rId1"/>
  <headerFooter>
    <oddHeader>&amp;L&amp;G&amp;C&amp;G</oddHeader>
    <oddFooter>&amp;RNovember 2016</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Lists!$A$17:$A$18</xm:f>
          </x14:formula1>
          <xm:sqref>E13:E14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3:K23"/>
  <sheetViews>
    <sheetView view="pageLayout" zoomScaleNormal="100" zoomScaleSheetLayoutView="100" workbookViewId="0">
      <selection activeCell="E17" sqref="E17"/>
    </sheetView>
  </sheetViews>
  <sheetFormatPr defaultRowHeight="15" x14ac:dyDescent="0.25"/>
  <cols>
    <col min="1" max="1" width="11.85546875" customWidth="1"/>
    <col min="2" max="2" width="10.85546875" customWidth="1"/>
    <col min="3" max="3" width="3.85546875" customWidth="1"/>
    <col min="4" max="4" width="19.5703125" customWidth="1"/>
    <col min="5" max="5" width="8.42578125" customWidth="1"/>
    <col min="6" max="6" width="17.28515625" customWidth="1"/>
    <col min="7" max="8" width="8.5703125" customWidth="1"/>
    <col min="9" max="9" width="11.140625" customWidth="1"/>
    <col min="10" max="10" width="11.42578125" customWidth="1"/>
    <col min="11" max="11" width="5.7109375" customWidth="1"/>
    <col min="12" max="12" width="14.85546875" customWidth="1"/>
    <col min="13" max="13" width="15.140625" customWidth="1"/>
  </cols>
  <sheetData>
    <row r="3" spans="1:11" s="2" customFormat="1" ht="10.15" customHeight="1" x14ac:dyDescent="0.2">
      <c r="A3" s="123" t="s">
        <v>695</v>
      </c>
      <c r="B3" s="435" t="s">
        <v>168</v>
      </c>
      <c r="C3" s="446" t="s">
        <v>147</v>
      </c>
      <c r="D3" s="435" t="s">
        <v>23</v>
      </c>
      <c r="E3" s="435"/>
      <c r="F3" s="435" t="s">
        <v>24</v>
      </c>
      <c r="G3" s="435"/>
      <c r="H3" s="77"/>
      <c r="I3" s="435" t="s">
        <v>158</v>
      </c>
      <c r="J3" s="435" t="s">
        <v>123</v>
      </c>
      <c r="K3" s="4"/>
    </row>
    <row r="4" spans="1:11" s="2" customFormat="1" ht="44.25" customHeight="1" x14ac:dyDescent="0.2">
      <c r="A4" s="122" t="s">
        <v>0</v>
      </c>
      <c r="B4" s="435"/>
      <c r="C4" s="446"/>
      <c r="D4" s="46" t="s">
        <v>1</v>
      </c>
      <c r="E4" s="46" t="s">
        <v>196</v>
      </c>
      <c r="F4" s="46" t="s">
        <v>1</v>
      </c>
      <c r="G4" s="46" t="s">
        <v>159</v>
      </c>
      <c r="H4" s="77" t="s">
        <v>481</v>
      </c>
      <c r="I4" s="435"/>
      <c r="J4" s="435"/>
      <c r="K4" s="4"/>
    </row>
    <row r="5" spans="1:11" s="2" customFormat="1" ht="20.100000000000001" customHeight="1" x14ac:dyDescent="0.2">
      <c r="A5" s="444" t="s">
        <v>160</v>
      </c>
      <c r="B5" s="454" t="s">
        <v>149</v>
      </c>
      <c r="C5" s="444">
        <v>1</v>
      </c>
      <c r="D5" s="156" t="s">
        <v>169</v>
      </c>
      <c r="E5" s="96" t="str">
        <f>IF(B5="","",IF(D5="","",IF('4. Purchased Energy Rates'!$B$4="Section 11 ECB",INDEX(Lists!$A$24:$D$27,(MATCH($D5,Lists!$A$24:$A$27,0)),(MATCH($B5,Lists!$A$24:$D$24,0))),INDEX(Lists!$F$24:$I$27,(MATCH($D5,Lists!$F$24:$F$27,0)),(MATCH($B5,Lists!$F$24:$I$24,0))))))</f>
        <v>U-0.032</v>
      </c>
      <c r="F5" s="154" t="s">
        <v>842</v>
      </c>
      <c r="G5" s="154">
        <v>3.2000000000000001E-2</v>
      </c>
      <c r="H5" s="155">
        <v>1</v>
      </c>
      <c r="I5" s="439"/>
      <c r="J5" s="439" t="s">
        <v>691</v>
      </c>
      <c r="K5" s="4"/>
    </row>
    <row r="6" spans="1:11" s="2" customFormat="1" ht="20.100000000000001" customHeight="1" x14ac:dyDescent="0.2">
      <c r="A6" s="444"/>
      <c r="B6" s="454"/>
      <c r="C6" s="444"/>
      <c r="D6" s="44" t="s">
        <v>161</v>
      </c>
      <c r="E6" s="154" t="s">
        <v>162</v>
      </c>
      <c r="F6" s="154"/>
      <c r="G6" s="154"/>
      <c r="H6" s="154"/>
      <c r="I6" s="439"/>
      <c r="J6" s="439"/>
      <c r="K6" s="4"/>
    </row>
    <row r="7" spans="1:11" s="2" customFormat="1" ht="20.100000000000001" hidden="1" customHeight="1" x14ac:dyDescent="0.2">
      <c r="A7" s="444"/>
      <c r="B7" s="454"/>
      <c r="C7" s="444">
        <v>2</v>
      </c>
      <c r="D7" s="49"/>
      <c r="E7" s="96" t="str">
        <f>IF(B7="","",IF(D7="","",IF('4. Purchased Energy Rates'!$B$4="Section 11 ECB",INDEX(Lists!$A$24:$D$27,(MATCH($D7,Lists!$A$24:$A$27,0)),(MATCH($B7,Lists!$A$24:$D$24,0))),INDEX(Lists!$F$24:$I$27,(MATCH($D7,Lists!$F$24:$F$27,0)),(MATCH($B7,Lists!$F$24:$I$24,0))))))</f>
        <v/>
      </c>
      <c r="F7" s="154"/>
      <c r="G7" s="153"/>
      <c r="H7" s="153"/>
      <c r="I7" s="534"/>
      <c r="J7" s="534"/>
      <c r="K7" s="4"/>
    </row>
    <row r="8" spans="1:11" s="2" customFormat="1" ht="20.100000000000001" hidden="1" customHeight="1" x14ac:dyDescent="0.2">
      <c r="A8" s="444"/>
      <c r="B8" s="454"/>
      <c r="C8" s="444"/>
      <c r="D8" s="44" t="s">
        <v>161</v>
      </c>
      <c r="E8" s="14" t="s">
        <v>162</v>
      </c>
      <c r="F8" s="154"/>
      <c r="G8" s="154"/>
      <c r="H8" s="154"/>
      <c r="I8" s="534"/>
      <c r="J8" s="534"/>
      <c r="K8" s="4"/>
    </row>
    <row r="9" spans="1:11" s="2" customFormat="1" ht="20.100000000000001" customHeight="1" x14ac:dyDescent="0.2">
      <c r="A9" s="435" t="s">
        <v>163</v>
      </c>
      <c r="B9" s="136" t="s">
        <v>149</v>
      </c>
      <c r="C9" s="44">
        <v>1</v>
      </c>
      <c r="D9" s="156" t="s">
        <v>172</v>
      </c>
      <c r="E9" s="96" t="str">
        <f>IF(B9="","",IF(D9="","",IF('4. Purchased Energy Rates'!$B$4="Section 11 ECB",INDEX(Lists!$A$28:$D$32,(MATCH($D9,Lists!$A$28:$A$32,0)),(MATCH($B9,Lists!$A$28:$D$28,0))),INDEX(Lists!$F$28:$I$32,(MATCH($D9,Lists!$F$28:$F$32,0)),(MATCH($B9,Lists!$F$28:$I$28,0))))))</f>
        <v>U-0.104</v>
      </c>
      <c r="F9" s="154" t="s">
        <v>841</v>
      </c>
      <c r="G9" s="153">
        <v>0.122</v>
      </c>
      <c r="H9" s="155">
        <v>1</v>
      </c>
      <c r="I9" s="153"/>
      <c r="J9" s="153" t="s">
        <v>691</v>
      </c>
      <c r="K9" s="4"/>
    </row>
    <row r="10" spans="1:11" s="2" customFormat="1" ht="20.100000000000001" customHeight="1" x14ac:dyDescent="0.2">
      <c r="A10" s="435"/>
      <c r="B10" s="136"/>
      <c r="C10" s="44">
        <v>2</v>
      </c>
      <c r="D10" s="156"/>
      <c r="E10" s="96" t="str">
        <f>IF(B10="","",IF(D10="","",IF('4. Purchased Energy Rates'!$B$4="Section 11 ECB",INDEX(Lists!$A$28:$D$32,(MATCH($D10,Lists!$A$28:$A$32,0)),(MATCH($B10,Lists!$A$28:$D$28,0))),INDEX(Lists!$F$28:$I$32,(MATCH($D10,Lists!$F$28:$F$32,0)),(MATCH($B10,Lists!$F$28:$I$28,0))))))</f>
        <v/>
      </c>
      <c r="F10" s="154"/>
      <c r="G10" s="153"/>
      <c r="H10" s="155"/>
      <c r="I10" s="153"/>
      <c r="J10" s="153"/>
      <c r="K10" s="4"/>
    </row>
    <row r="11" spans="1:11" s="2" customFormat="1" ht="20.100000000000001" customHeight="1" x14ac:dyDescent="0.2">
      <c r="A11" s="435"/>
      <c r="B11" s="136"/>
      <c r="C11" s="44">
        <v>3</v>
      </c>
      <c r="D11" s="156"/>
      <c r="E11" s="96" t="str">
        <f>IF(B11="","",IF(D11="","",IF('4. Purchased Energy Rates'!$B$4="Section 11 ECB",INDEX(Lists!$A$28:$D$32,(MATCH($D11,Lists!$A$28:$A$32,0)),(MATCH($B11,Lists!$A$28:$D$28,0))),INDEX(Lists!$F$28:$I$32,(MATCH($D11,Lists!$F$28:$F$32,0)),(MATCH($B11,Lists!$F$28:$I$28,0))))))</f>
        <v/>
      </c>
      <c r="F11" s="154"/>
      <c r="G11" s="153"/>
      <c r="H11" s="155"/>
      <c r="I11" s="153"/>
      <c r="J11" s="153"/>
      <c r="K11" s="4"/>
    </row>
    <row r="12" spans="1:11" s="2" customFormat="1" ht="20.100000000000001" customHeight="1" x14ac:dyDescent="0.2">
      <c r="A12" s="435"/>
      <c r="B12" s="136"/>
      <c r="C12" s="44">
        <v>4</v>
      </c>
      <c r="D12" s="156"/>
      <c r="E12" s="96" t="str">
        <f>IF(B12="","",IF(D12="","",IF('4. Purchased Energy Rates'!$B$4="Section 11 ECB",INDEX(Lists!$A$28:$D$32,(MATCH($D12,Lists!$A$28:$A$32,0)),(MATCH($B12,Lists!$A$28:$D$28,0))),INDEX(Lists!$F$28:$I$32,(MATCH($D12,Lists!$F$28:$F$32,0)),(MATCH($B12,Lists!$F$28:$I$28,0))))))</f>
        <v/>
      </c>
      <c r="F12" s="154"/>
      <c r="G12" s="153"/>
      <c r="H12" s="155"/>
      <c r="I12" s="153"/>
      <c r="J12" s="153"/>
      <c r="K12" s="4"/>
    </row>
    <row r="13" spans="1:11" s="2" customFormat="1" ht="20.100000000000001" customHeight="1" x14ac:dyDescent="0.2">
      <c r="A13" s="435"/>
      <c r="B13" s="136"/>
      <c r="C13" s="44">
        <v>5</v>
      </c>
      <c r="D13" s="156"/>
      <c r="E13" s="96" t="str">
        <f>IF(B13="","",IF(D13="","",IF('4. Purchased Energy Rates'!$B$4="Section 11 ECB",INDEX(Lists!$A$28:$D$32,(MATCH($D13,Lists!$A$28:$A$32,0)),(MATCH($B13,Lists!$A$28:$D$28,0))),INDEX(Lists!$F$28:$I$32,(MATCH($D13,Lists!$F$28:$F$32,0)),(MATCH($B13,Lists!$F$28:$I$28,0))))))</f>
        <v/>
      </c>
      <c r="F13" s="154"/>
      <c r="G13" s="153"/>
      <c r="H13" s="155"/>
      <c r="I13" s="153"/>
      <c r="J13" s="153"/>
      <c r="K13" s="4"/>
    </row>
    <row r="14" spans="1:11" s="2" customFormat="1" ht="20.100000000000001" customHeight="1" x14ac:dyDescent="0.2">
      <c r="A14" s="435"/>
      <c r="B14" s="136"/>
      <c r="C14" s="44">
        <v>6</v>
      </c>
      <c r="D14" s="156"/>
      <c r="E14" s="96" t="str">
        <f>IF(B14="","",IF(D14="","",IF('4. Purchased Energy Rates'!$B$4="Section 11 ECB",INDEX(Lists!$A$28:$D$32,(MATCH($D14,Lists!$A$28:$A$32,0)),(MATCH($B14,Lists!$A$28:$D$28,0))),INDEX(Lists!$F$28:$I$32,(MATCH($D14,Lists!$F$28:$F$32,0)),(MATCH($B14,Lists!$F$28:$I$28,0))))))</f>
        <v/>
      </c>
      <c r="F14" s="154"/>
      <c r="G14" s="153"/>
      <c r="H14" s="155"/>
      <c r="I14" s="153"/>
      <c r="J14" s="153"/>
      <c r="K14" s="4"/>
    </row>
    <row r="15" spans="1:11" s="2" customFormat="1" ht="20.100000000000001" customHeight="1" x14ac:dyDescent="0.2">
      <c r="A15" s="435"/>
      <c r="B15" s="136"/>
      <c r="C15" s="44">
        <v>7</v>
      </c>
      <c r="D15" s="156"/>
      <c r="E15" s="96" t="str">
        <f>IF(B15="","",IF(D15="","",IF('4. Purchased Energy Rates'!$B$4="Section 11 ECB",INDEX(Lists!$A$28:$D$32,(MATCH($D15,Lists!$A$28:$A$32,0)),(MATCH($B15,Lists!$A$28:$D$28,0))),INDEX(Lists!$F$28:$I$32,(MATCH($D15,Lists!$F$28:$F$32,0)),(MATCH($B15,Lists!$F$28:$I$28,0))))))</f>
        <v/>
      </c>
      <c r="F15" s="154"/>
      <c r="G15" s="153"/>
      <c r="H15" s="155"/>
      <c r="I15" s="153"/>
      <c r="J15" s="153"/>
      <c r="K15" s="4"/>
    </row>
    <row r="16" spans="1:11" s="2" customFormat="1" ht="20.100000000000001" customHeight="1" x14ac:dyDescent="0.2">
      <c r="A16" s="435"/>
      <c r="B16" s="136"/>
      <c r="C16" s="44">
        <v>8</v>
      </c>
      <c r="D16" s="156"/>
      <c r="E16" s="96" t="str">
        <f>IF(B16="","",IF(D16="","",IF('4. Purchased Energy Rates'!$B$4="Section 11 ECB",INDEX(Lists!$A$28:$D$32,(MATCH($D16,Lists!$A$28:$A$32,0)),(MATCH($B16,Lists!$A$28:$D$28,0))),INDEX(Lists!$F$28:$I$32,(MATCH($D16,Lists!$F$28:$F$32,0)),(MATCH($B16,Lists!$F$28:$I$28,0))))))</f>
        <v/>
      </c>
      <c r="F16" s="154"/>
      <c r="G16" s="153"/>
      <c r="H16" s="155"/>
      <c r="I16" s="153"/>
      <c r="J16" s="153"/>
      <c r="K16" s="4"/>
    </row>
    <row r="17" spans="1:11" s="2" customFormat="1" ht="20.100000000000001" customHeight="1" x14ac:dyDescent="0.2">
      <c r="A17" s="444" t="s">
        <v>164</v>
      </c>
      <c r="B17" s="156" t="s">
        <v>149</v>
      </c>
      <c r="C17" s="44">
        <v>1</v>
      </c>
      <c r="D17" s="156" t="s">
        <v>175</v>
      </c>
      <c r="E17" s="96" t="str">
        <f>IF(B17="","",IF(D17="","",IF('4. Purchased Energy Rates'!$B$4="Section 11 ECB",INDEX(Lists!$A$33:$D$34,(MATCH($D17,Lists!$A$33:$A$34,0)),(MATCH($B17,Lists!$A$33:$D$33,0))),INDEX(Lists!$F$33:$I$34,(MATCH($D17,Lists!$F$33:$F$34,0)),(MATCH($B17,Lists!$F$33:$I$33,0))))))</f>
        <v>C-0.119</v>
      </c>
      <c r="F17" s="154" t="s">
        <v>843</v>
      </c>
      <c r="G17" s="154" t="s">
        <v>472</v>
      </c>
      <c r="H17" s="154"/>
      <c r="I17" s="153"/>
      <c r="J17" s="213" t="s">
        <v>691</v>
      </c>
      <c r="K17" s="4"/>
    </row>
    <row r="18" spans="1:11" s="2" customFormat="1" ht="20.100000000000001" customHeight="1" x14ac:dyDescent="0.2">
      <c r="A18" s="444"/>
      <c r="B18" s="136"/>
      <c r="C18" s="44">
        <v>2</v>
      </c>
      <c r="D18" s="156"/>
      <c r="E18" s="96" t="str">
        <f>IF(B18="","",IF(D18="","",IF('4. Purchased Energy Rates'!$B$4="Section 11 ECB",INDEX(Lists!$A$33:$D$34,(MATCH($D18,Lists!$A$33:$A$34,0)),(MATCH($B18,Lists!$A$33:$D$33,0))),INDEX(Lists!$F$33:$I$34,(MATCH($D18,Lists!$F$33:$F$34,0)),(MATCH($B18,Lists!$F$33:$I$33,0))))))</f>
        <v/>
      </c>
      <c r="F18" s="154"/>
      <c r="G18" s="153"/>
      <c r="H18" s="153"/>
      <c r="I18" s="153"/>
      <c r="J18" s="153"/>
      <c r="K18" s="4"/>
    </row>
    <row r="19" spans="1:11" s="2" customFormat="1" ht="27" customHeight="1" x14ac:dyDescent="0.2">
      <c r="A19" s="44" t="s">
        <v>165</v>
      </c>
      <c r="B19" s="136"/>
      <c r="C19" s="44">
        <v>1</v>
      </c>
      <c r="D19" s="156"/>
      <c r="E19" s="96" t="str">
        <f>IF(B19="","",IF(D19="","",IF('4. Purchased Energy Rates'!$B$4="Section 11 ECB",INDEX(Lists!$A$35:$D$38,(MATCH($D19,Lists!$A$35:$A$38,0)),(MATCH($B19,Lists!$A$35:$D$35,0))),INDEX(Lists!$F$35:$I$38,(MATCH($D19,Lists!$F$35:$F$38,0)),(MATCH($B19,Lists!$F$35:$I$35,0))))))</f>
        <v/>
      </c>
      <c r="F19" s="154"/>
      <c r="G19" s="153"/>
      <c r="H19" s="153"/>
      <c r="I19" s="153"/>
      <c r="J19" s="153"/>
      <c r="K19" s="4"/>
    </row>
    <row r="20" spans="1:11" s="2" customFormat="1" ht="21" customHeight="1" x14ac:dyDescent="0.2">
      <c r="A20" s="44" t="s">
        <v>166</v>
      </c>
      <c r="B20" s="136"/>
      <c r="C20" s="44">
        <v>1</v>
      </c>
      <c r="D20" s="156"/>
      <c r="E20" s="96" t="str">
        <f>IF(B20="","",IF(D20="","",IF('4. Purchased Energy Rates'!$B$4="Section 11 ECB",INDEX(Lists!$A$39:$D$41,(MATCH($D20,Lists!$A$39:$A$41,0)),(MATCH($B20,Lists!$A$39:$D$39,0))),INDEX(Lists!$F$39:$I$41,(MATCH($D20,Lists!$F$39:$F$41,0)),(MATCH($B20,Lists!$F$39:$I$39,0))))))</f>
        <v/>
      </c>
      <c r="F20" s="154"/>
      <c r="G20" s="153"/>
      <c r="H20" s="153"/>
      <c r="I20" s="153"/>
      <c r="J20" s="153"/>
      <c r="K20" s="5"/>
    </row>
    <row r="21" spans="1:11" s="2" customFormat="1" ht="20.100000000000001" customHeight="1" x14ac:dyDescent="0.2">
      <c r="A21" s="435" t="s">
        <v>167</v>
      </c>
      <c r="B21" s="136" t="s">
        <v>149</v>
      </c>
      <c r="C21" s="44">
        <v>1</v>
      </c>
      <c r="D21" s="156" t="s">
        <v>179</v>
      </c>
      <c r="E21" s="96" t="str">
        <f>IF(B21="","",IF(D21="","",IF('4. Purchased Energy Rates'!$B$4="Section 11 ECB",INDEX(Lists!$A$42:$D$44,(MATCH($D21,Lists!$A$42:$A$44,0)),(MATCH($B21,Lists!$A$42:$D$42,0))),INDEX(Lists!$F$42:$I$44,(MATCH($D21,Lists!$F$42:$F$44,0)),(MATCH($B21,Lists!$F$42:$I$42,0))))))</f>
        <v>U-0.500</v>
      </c>
      <c r="F21" s="154" t="s">
        <v>844</v>
      </c>
      <c r="G21" s="153">
        <v>0.7</v>
      </c>
      <c r="H21" s="153"/>
      <c r="I21" s="153"/>
      <c r="J21" s="213" t="s">
        <v>845</v>
      </c>
      <c r="K21" s="4"/>
    </row>
    <row r="22" spans="1:11" s="2" customFormat="1" ht="20.100000000000001" customHeight="1" x14ac:dyDescent="0.2">
      <c r="A22" s="435"/>
      <c r="B22" s="156"/>
      <c r="C22" s="44">
        <v>2</v>
      </c>
      <c r="D22" s="156"/>
      <c r="E22" s="96" t="str">
        <f>IF(B22="","",IF(D22="","",IF('4. Purchased Energy Rates'!$B$4="Section 11 ECB",INDEX(Lists!$A$42:$D$44,(MATCH($D22,Lists!$A$42:$A$44,0)),(MATCH($B22,Lists!$A$42:$D$42,0))),INDEX(Lists!$F$42:$I$44,(MATCH($D22,Lists!$F$42:$F$44,0)),(MATCH($B22,Lists!$F$42:$I$42,0))))))</f>
        <v/>
      </c>
      <c r="F22" s="154"/>
      <c r="G22" s="154"/>
      <c r="H22" s="154"/>
      <c r="I22" s="154"/>
      <c r="J22" s="154"/>
      <c r="K22" s="35"/>
    </row>
    <row r="23" spans="1:11" ht="15" customHeight="1" x14ac:dyDescent="0.25"/>
  </sheetData>
  <sheetProtection password="C5B9" sheet="1" objects="1" scenarios="1"/>
  <mergeCells count="18">
    <mergeCell ref="I3:I4"/>
    <mergeCell ref="D3:E3"/>
    <mergeCell ref="A17:A18"/>
    <mergeCell ref="A9:A16"/>
    <mergeCell ref="A21:A22"/>
    <mergeCell ref="J3:J4"/>
    <mergeCell ref="A5:A8"/>
    <mergeCell ref="B5:B6"/>
    <mergeCell ref="C5:C6"/>
    <mergeCell ref="I5:I6"/>
    <mergeCell ref="J5:J6"/>
    <mergeCell ref="B7:B8"/>
    <mergeCell ref="C7:C8"/>
    <mergeCell ref="I7:I8"/>
    <mergeCell ref="J7:J8"/>
    <mergeCell ref="B3:B4"/>
    <mergeCell ref="C3:C4"/>
    <mergeCell ref="F3:G3"/>
  </mergeCells>
  <conditionalFormatting sqref="M10">
    <cfRule type="expression" dxfId="1" priority="2">
      <formula>"""ERROR"""</formula>
    </cfRule>
  </conditionalFormatting>
  <conditionalFormatting sqref="E9:E22">
    <cfRule type="expression" dxfId="0" priority="1">
      <formula>"ERROR"</formula>
    </cfRule>
  </conditionalFormatting>
  <dataValidations count="6">
    <dataValidation type="list" allowBlank="1" showInputMessage="1" showErrorMessage="1" sqref="B5:B22">
      <formula1>Env_Type</formula1>
    </dataValidation>
    <dataValidation type="list" allowBlank="1" showInputMessage="1" showErrorMessage="1" sqref="D5 D7">
      <formula1>Roof_Type</formula1>
    </dataValidation>
    <dataValidation type="list" allowBlank="1" showInputMessage="1" showErrorMessage="1" sqref="D9:D16">
      <formula1>Wall_Type</formula1>
    </dataValidation>
    <dataValidation type="list" allowBlank="1" showInputMessage="1" showErrorMessage="1" sqref="D19">
      <formula1>Floor</formula1>
    </dataValidation>
    <dataValidation type="list" allowBlank="1" showInputMessage="1" showErrorMessage="1" sqref="D20">
      <formula1>Slab</formula1>
    </dataValidation>
    <dataValidation type="list" allowBlank="1" showInputMessage="1" showErrorMessage="1" sqref="D21:D22">
      <formula1>Doors</formula1>
    </dataValidation>
  </dataValidations>
  <pageMargins left="0.7" right="0.7" top="0.75" bottom="0.75" header="0.3" footer="0.3"/>
  <pageSetup scale="96" orientation="landscape" r:id="rId1"/>
  <headerFooter>
    <oddHeader>&amp;L&amp;G&amp;C&amp;G</oddHeader>
    <oddFooter>&amp;RNovember 2016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xm:f>
          </x14:formula1>
          <xm:sqref>D17:D18</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2:J36"/>
  <sheetViews>
    <sheetView view="pageLayout" zoomScaleNormal="100" zoomScaleSheetLayoutView="115" workbookViewId="0">
      <selection activeCell="K7" sqref="K7"/>
    </sheetView>
  </sheetViews>
  <sheetFormatPr defaultRowHeight="15" x14ac:dyDescent="0.25"/>
  <cols>
    <col min="1" max="1" width="26.7109375" style="12" customWidth="1"/>
    <col min="2" max="2" width="14.140625" style="12" customWidth="1"/>
    <col min="3" max="4" width="6.42578125" style="12" customWidth="1"/>
    <col min="5" max="5" width="7" style="13" customWidth="1"/>
    <col min="6" max="7" width="6.42578125" style="12" customWidth="1"/>
    <col min="8" max="8" width="7" style="12" customWidth="1"/>
    <col min="9" max="10" width="11.5703125" style="12" customWidth="1"/>
  </cols>
  <sheetData>
    <row r="2" spans="1:10" ht="56.25" customHeight="1" x14ac:dyDescent="0.25">
      <c r="A2" s="435" t="s">
        <v>197</v>
      </c>
      <c r="B2" s="435" t="s">
        <v>271</v>
      </c>
      <c r="C2" s="435" t="s">
        <v>23</v>
      </c>
      <c r="D2" s="435"/>
      <c r="E2" s="435"/>
      <c r="F2" s="435" t="s">
        <v>24</v>
      </c>
      <c r="G2" s="435"/>
      <c r="H2" s="435"/>
      <c r="I2" s="435"/>
      <c r="J2" s="435"/>
    </row>
    <row r="3" spans="1:10" ht="22.5" x14ac:dyDescent="0.25">
      <c r="A3" s="435"/>
      <c r="B3" s="435"/>
      <c r="C3" s="435" t="s">
        <v>198</v>
      </c>
      <c r="D3" s="435" t="s">
        <v>199</v>
      </c>
      <c r="E3" s="50" t="s">
        <v>200</v>
      </c>
      <c r="F3" s="435" t="s">
        <v>198</v>
      </c>
      <c r="G3" s="435" t="s">
        <v>199</v>
      </c>
      <c r="H3" s="51" t="s">
        <v>200</v>
      </c>
      <c r="I3" s="435" t="s">
        <v>21</v>
      </c>
      <c r="J3" s="435" t="s">
        <v>123</v>
      </c>
    </row>
    <row r="4" spans="1:10" x14ac:dyDescent="0.25">
      <c r="A4" s="435"/>
      <c r="B4" s="435"/>
      <c r="C4" s="435"/>
      <c r="D4" s="435"/>
      <c r="E4" s="52" t="s">
        <v>201</v>
      </c>
      <c r="F4" s="435"/>
      <c r="G4" s="435"/>
      <c r="H4" s="53" t="s">
        <v>201</v>
      </c>
      <c r="I4" s="435"/>
      <c r="J4" s="435"/>
    </row>
    <row r="5" spans="1:10" x14ac:dyDescent="0.25">
      <c r="A5" s="156" t="s">
        <v>555</v>
      </c>
      <c r="B5" s="157">
        <v>1</v>
      </c>
      <c r="C5" s="156" t="s">
        <v>202</v>
      </c>
      <c r="D5" s="156" t="s">
        <v>202</v>
      </c>
      <c r="E5" s="97">
        <f>IF($A5="","",IF($B5="","",IF('4. Purchased Energy Rates'!$B$4="Section 11 ECB",VLOOKUP($A5,'Lighting Lookup'!$E$2:$G$106,2),VLOOKUP($A5,'Lighting Lookup'!$E$2:$G$106,3))))</f>
        <v>1.24</v>
      </c>
      <c r="F5" s="156" t="s">
        <v>202</v>
      </c>
      <c r="G5" s="136" t="s">
        <v>202</v>
      </c>
      <c r="H5" s="158">
        <v>1.24</v>
      </c>
      <c r="I5" s="154"/>
      <c r="J5" s="154" t="s">
        <v>696</v>
      </c>
    </row>
    <row r="6" spans="1:10" x14ac:dyDescent="0.25">
      <c r="A6" s="156" t="s">
        <v>752</v>
      </c>
      <c r="B6" s="157"/>
      <c r="C6" s="156" t="s">
        <v>202</v>
      </c>
      <c r="D6" s="156" t="s">
        <v>202</v>
      </c>
      <c r="E6" s="97" t="str">
        <f>IF($A6="","",IF($B6="","",IF('4. Purchased Energy Rates'!$B$4="Section 11 ECB",VLOOKUP($A6,'Lighting Lookup'!$E$2:$G$106,2),VLOOKUP($A6,'Lighting Lookup'!$E$2:$G$106,3))))</f>
        <v/>
      </c>
      <c r="F6" s="156" t="s">
        <v>202</v>
      </c>
      <c r="G6" s="136" t="s">
        <v>202</v>
      </c>
      <c r="H6" s="158"/>
      <c r="I6" s="154"/>
      <c r="J6" s="154" t="s">
        <v>696</v>
      </c>
    </row>
    <row r="7" spans="1:10" x14ac:dyDescent="0.25">
      <c r="A7" s="156" t="s">
        <v>516</v>
      </c>
      <c r="B7" s="157"/>
      <c r="C7" s="156" t="s">
        <v>202</v>
      </c>
      <c r="D7" s="156" t="s">
        <v>202</v>
      </c>
      <c r="E7" s="97" t="str">
        <f>IF($A7="","",IF($B7="","",IF('4. Purchased Energy Rates'!$B$4="Section 11 ECB",VLOOKUP($A7,'Lighting Lookup'!$E$2:$G$106,2),VLOOKUP($A7,'Lighting Lookup'!$E$2:$G$106,3))))</f>
        <v/>
      </c>
      <c r="F7" s="156" t="s">
        <v>202</v>
      </c>
      <c r="G7" s="136" t="s">
        <v>202</v>
      </c>
      <c r="H7" s="158"/>
      <c r="I7" s="154"/>
      <c r="J7" s="154" t="s">
        <v>696</v>
      </c>
    </row>
    <row r="8" spans="1:10" x14ac:dyDescent="0.25">
      <c r="A8" s="156" t="s">
        <v>495</v>
      </c>
      <c r="B8" s="157"/>
      <c r="C8" s="156" t="s">
        <v>202</v>
      </c>
      <c r="D8" s="156" t="s">
        <v>203</v>
      </c>
      <c r="E8" s="97" t="str">
        <f>IF($A8="","",IF($B8="","",IF('4. Purchased Energy Rates'!$B$4="Section 11 ECB",VLOOKUP($A8,'Lighting Lookup'!$E$2:$G$106,2),VLOOKUP($A8,'Lighting Lookup'!$E$2:$G$106,3))))</f>
        <v/>
      </c>
      <c r="F8" s="156" t="s">
        <v>202</v>
      </c>
      <c r="G8" s="136" t="s">
        <v>203</v>
      </c>
      <c r="H8" s="158"/>
      <c r="I8" s="154"/>
      <c r="J8" s="154"/>
    </row>
    <row r="9" spans="1:10" x14ac:dyDescent="0.25">
      <c r="A9" s="156" t="s">
        <v>522</v>
      </c>
      <c r="B9" s="157"/>
      <c r="C9" s="156" t="s">
        <v>202</v>
      </c>
      <c r="D9" s="156" t="s">
        <v>203</v>
      </c>
      <c r="E9" s="97" t="str">
        <f>IF($A9="","",IF($B9="","",IF('4. Purchased Energy Rates'!$B$4="Section 11 ECB",VLOOKUP($A9,'Lighting Lookup'!$E$2:$G$106,2),VLOOKUP($A9,'Lighting Lookup'!$E$2:$G$106,3))))</f>
        <v/>
      </c>
      <c r="F9" s="156" t="s">
        <v>203</v>
      </c>
      <c r="G9" s="136" t="s">
        <v>203</v>
      </c>
      <c r="H9" s="158"/>
      <c r="I9" s="154"/>
      <c r="J9" s="154"/>
    </row>
    <row r="10" spans="1:10" x14ac:dyDescent="0.25">
      <c r="A10" s="156" t="s">
        <v>55</v>
      </c>
      <c r="B10" s="157"/>
      <c r="C10" s="156" t="s">
        <v>202</v>
      </c>
      <c r="D10" s="156" t="s">
        <v>203</v>
      </c>
      <c r="E10" s="97" t="str">
        <f>IF($A10="","",IF($B10="","",IF('4. Purchased Energy Rates'!$B$4="Section 11 ECB",VLOOKUP($A10,'Lighting Lookup'!$E$2:$G$106,2),VLOOKUP($A10,'Lighting Lookup'!$E$2:$G$106,3))))</f>
        <v/>
      </c>
      <c r="F10" s="156" t="s">
        <v>203</v>
      </c>
      <c r="G10" s="136" t="s">
        <v>203</v>
      </c>
      <c r="H10" s="158"/>
      <c r="I10" s="154"/>
      <c r="J10" s="154"/>
    </row>
    <row r="11" spans="1:10" x14ac:dyDescent="0.25">
      <c r="A11" s="156" t="s">
        <v>525</v>
      </c>
      <c r="B11" s="157"/>
      <c r="C11" s="156" t="s">
        <v>202</v>
      </c>
      <c r="D11" s="156" t="s">
        <v>203</v>
      </c>
      <c r="E11" s="97" t="str">
        <f>IF($A11="","",IF($B11="","",IF('4. Purchased Energy Rates'!$B$4="Section 11 ECB",VLOOKUP($A11,'Lighting Lookup'!$E$2:$G$106,2),VLOOKUP($A11,'Lighting Lookup'!$E$2:$G$106,3))))</f>
        <v/>
      </c>
      <c r="F11" s="156" t="s">
        <v>202</v>
      </c>
      <c r="G11" s="136" t="s">
        <v>203</v>
      </c>
      <c r="H11" s="158"/>
      <c r="I11" s="154"/>
      <c r="J11" s="154"/>
    </row>
    <row r="12" spans="1:10" x14ac:dyDescent="0.25">
      <c r="A12" s="156" t="s">
        <v>259</v>
      </c>
      <c r="B12" s="157"/>
      <c r="C12" s="156" t="s">
        <v>202</v>
      </c>
      <c r="D12" s="156" t="s">
        <v>203</v>
      </c>
      <c r="E12" s="97" t="str">
        <f>IF($A12="","",IF($B12="","",IF('4. Purchased Energy Rates'!$B$4="Section 11 ECB",VLOOKUP($A12,'Lighting Lookup'!$E$2:$G$106,2),VLOOKUP($A12,'Lighting Lookup'!$E$2:$G$106,3))))</f>
        <v/>
      </c>
      <c r="F12" s="156" t="s">
        <v>202</v>
      </c>
      <c r="G12" s="136" t="s">
        <v>203</v>
      </c>
      <c r="H12" s="158"/>
      <c r="I12" s="154"/>
      <c r="J12" s="154"/>
    </row>
    <row r="13" spans="1:10" x14ac:dyDescent="0.25">
      <c r="A13" s="156" t="s">
        <v>511</v>
      </c>
      <c r="B13" s="157"/>
      <c r="C13" s="156" t="s">
        <v>202</v>
      </c>
      <c r="D13" s="156" t="s">
        <v>202</v>
      </c>
      <c r="E13" s="97" t="str">
        <f>IF($A13="","",IF($B13="","",IF('4. Purchased Energy Rates'!$B$4="Section 11 ECB",VLOOKUP($A13,'Lighting Lookup'!$E$2:$G$106,2),VLOOKUP($A13,'Lighting Lookup'!$E$2:$G$106,3))))</f>
        <v/>
      </c>
      <c r="F13" s="156" t="s">
        <v>202</v>
      </c>
      <c r="G13" s="136" t="s">
        <v>202</v>
      </c>
      <c r="H13" s="158"/>
      <c r="I13" s="154"/>
      <c r="J13" s="154"/>
    </row>
    <row r="14" spans="1:10" x14ac:dyDescent="0.25">
      <c r="A14" s="156" t="s">
        <v>256</v>
      </c>
      <c r="B14" s="157"/>
      <c r="C14" s="156" t="s">
        <v>202</v>
      </c>
      <c r="D14" s="156" t="s">
        <v>203</v>
      </c>
      <c r="E14" s="97" t="str">
        <f>IF($A14="","",IF($B14="","",IF('4. Purchased Energy Rates'!$B$4="Section 11 ECB",VLOOKUP($A14,'Lighting Lookup'!$E$2:$G$106,2),VLOOKUP($A14,'Lighting Lookup'!$E$2:$G$106,3))))</f>
        <v/>
      </c>
      <c r="F14" s="156" t="s">
        <v>202</v>
      </c>
      <c r="G14" s="136" t="s">
        <v>203</v>
      </c>
      <c r="H14" s="158"/>
      <c r="I14" s="154"/>
      <c r="J14" s="154"/>
    </row>
    <row r="15" spans="1:10" ht="22.5" x14ac:dyDescent="0.25">
      <c r="A15" s="156" t="s">
        <v>533</v>
      </c>
      <c r="B15" s="157"/>
      <c r="C15" s="156" t="s">
        <v>202</v>
      </c>
      <c r="D15" s="156" t="s">
        <v>203</v>
      </c>
      <c r="E15" s="97" t="str">
        <f>IF($A15="","",IF($B15="","",IF('4. Purchased Energy Rates'!$B$4="Section 11 ECB",VLOOKUP($A15,'Lighting Lookup'!$E$2:$G$106,2),VLOOKUP($A15,'Lighting Lookup'!$E$2:$G$106,3))))</f>
        <v/>
      </c>
      <c r="F15" s="156" t="s">
        <v>202</v>
      </c>
      <c r="G15" s="136" t="s">
        <v>203</v>
      </c>
      <c r="H15" s="158"/>
      <c r="I15" s="154"/>
      <c r="J15" s="154"/>
    </row>
    <row r="16" spans="1:10" x14ac:dyDescent="0.25">
      <c r="A16" s="156" t="s">
        <v>252</v>
      </c>
      <c r="B16" s="157"/>
      <c r="C16" s="156" t="s">
        <v>203</v>
      </c>
      <c r="D16" s="156" t="s">
        <v>203</v>
      </c>
      <c r="E16" s="97" t="str">
        <f>IF($A16="","",IF($B16="","",IF('4. Purchased Energy Rates'!$B$4="Section 11 ECB",VLOOKUP($A16,'Lighting Lookup'!$E$2:$G$106,2),VLOOKUP($A16,'Lighting Lookup'!$E$2:$G$106,3))))</f>
        <v/>
      </c>
      <c r="F16" s="156" t="s">
        <v>203</v>
      </c>
      <c r="G16" s="136" t="s">
        <v>203</v>
      </c>
      <c r="H16" s="158"/>
      <c r="I16" s="154"/>
      <c r="J16" s="154"/>
    </row>
    <row r="17" spans="1:10" x14ac:dyDescent="0.25">
      <c r="A17" s="156" t="s">
        <v>502</v>
      </c>
      <c r="B17" s="157"/>
      <c r="C17" s="156" t="s">
        <v>202</v>
      </c>
      <c r="D17" s="156" t="s">
        <v>202</v>
      </c>
      <c r="E17" s="97" t="str">
        <f>IF($A17="","",IF($B17="","",IF('4. Purchased Energy Rates'!$B$4="Section 11 ECB",VLOOKUP($A17,'Lighting Lookup'!$E$2:$G$106,2),VLOOKUP($A17,'Lighting Lookup'!$E$2:$G$106,3))))</f>
        <v/>
      </c>
      <c r="F17" s="156" t="s">
        <v>202</v>
      </c>
      <c r="G17" s="136" t="s">
        <v>202</v>
      </c>
      <c r="H17" s="158"/>
      <c r="I17" s="154"/>
      <c r="J17" s="154"/>
    </row>
    <row r="18" spans="1:10" x14ac:dyDescent="0.25">
      <c r="A18" s="156" t="s">
        <v>504</v>
      </c>
      <c r="B18" s="157"/>
      <c r="C18" s="156" t="s">
        <v>203</v>
      </c>
      <c r="D18" s="215" t="s">
        <v>203</v>
      </c>
      <c r="E18" s="97" t="str">
        <f>IF($A18="","",IF($B18="","",IF('4. Purchased Energy Rates'!$B$4="Section 11 ECB",VLOOKUP($A18,'Lighting Lookup'!$E$2:$G$106,2),VLOOKUP($A18,'Lighting Lookup'!$E$2:$G$106,3))))</f>
        <v/>
      </c>
      <c r="F18" s="156" t="s">
        <v>203</v>
      </c>
      <c r="G18" s="136" t="s">
        <v>203</v>
      </c>
      <c r="H18" s="158"/>
      <c r="I18" s="154"/>
      <c r="J18" s="154"/>
    </row>
    <row r="19" spans="1:10" ht="22.5" x14ac:dyDescent="0.25">
      <c r="A19" s="156" t="s">
        <v>57</v>
      </c>
      <c r="B19" s="157"/>
      <c r="C19" s="156" t="s">
        <v>203</v>
      </c>
      <c r="D19" s="156" t="s">
        <v>202</v>
      </c>
      <c r="E19" s="97" t="str">
        <f>IF($A19="","",IF($B19="","",IF('4. Purchased Energy Rates'!$B$4="Section 11 ECB",VLOOKUP($A19,'Lighting Lookup'!$E$2:$G$106,2),VLOOKUP($A19,'Lighting Lookup'!$E$2:$G$106,3))))</f>
        <v/>
      </c>
      <c r="F19" s="156" t="s">
        <v>203</v>
      </c>
      <c r="G19" s="136" t="s">
        <v>202</v>
      </c>
      <c r="H19" s="158"/>
      <c r="I19" s="154"/>
      <c r="J19" s="154"/>
    </row>
    <row r="20" spans="1:10" x14ac:dyDescent="0.25">
      <c r="A20" s="156"/>
      <c r="B20" s="157"/>
      <c r="C20" s="156"/>
      <c r="D20" s="156"/>
      <c r="E20" s="97" t="str">
        <f>IF($A20="","",IF($B20="","",IF('4. Purchased Energy Rates'!$B$4="Section 11 ECB",VLOOKUP($A20,'Lighting Lookup'!$E$2:$G$106,2),VLOOKUP($A20,'Lighting Lookup'!$E$2:$G$106,3))))</f>
        <v/>
      </c>
      <c r="F20" s="156"/>
      <c r="G20" s="136"/>
      <c r="H20" s="158"/>
      <c r="I20" s="154"/>
      <c r="J20" s="154"/>
    </row>
    <row r="21" spans="1:10" x14ac:dyDescent="0.25">
      <c r="A21" s="156"/>
      <c r="B21" s="157"/>
      <c r="C21" s="156"/>
      <c r="D21" s="156"/>
      <c r="E21" s="97" t="str">
        <f>IF($A21="","",IF($B21="","",IF('4. Purchased Energy Rates'!$B$4="Section 11 ECB",VLOOKUP($A21,'Lighting Lookup'!$E$2:$G$106,2),VLOOKUP($A21,'Lighting Lookup'!$E$2:$G$106,3))))</f>
        <v/>
      </c>
      <c r="F21" s="156"/>
      <c r="G21" s="136"/>
      <c r="H21" s="158"/>
      <c r="I21" s="154"/>
      <c r="J21" s="154"/>
    </row>
    <row r="22" spans="1:10" x14ac:dyDescent="0.25">
      <c r="A22" s="156"/>
      <c r="B22" s="157"/>
      <c r="C22" s="156"/>
      <c r="D22" s="156"/>
      <c r="E22" s="97" t="str">
        <f>IF($A22="","",IF($B22="","",IF('4. Purchased Energy Rates'!$B$4="Section 11 ECB",VLOOKUP($A22,'Lighting Lookup'!$E$2:$G$106,2),VLOOKUP($A22,'Lighting Lookup'!$E$2:$G$106,3))))</f>
        <v/>
      </c>
      <c r="F22" s="156"/>
      <c r="G22" s="136"/>
      <c r="H22" s="158"/>
      <c r="I22" s="154"/>
      <c r="J22" s="154"/>
    </row>
    <row r="23" spans="1:10" x14ac:dyDescent="0.25">
      <c r="A23" s="156"/>
      <c r="B23" s="157"/>
      <c r="C23" s="156"/>
      <c r="D23" s="156"/>
      <c r="E23" s="97" t="str">
        <f>IF($A23="","",IF($B23="","",IF('4. Purchased Energy Rates'!$B$4="Section 11 ECB",VLOOKUP($A23,'Lighting Lookup'!$E$2:$G$106,2),VLOOKUP($A23,'Lighting Lookup'!$E$2:$G$106,3))))</f>
        <v/>
      </c>
      <c r="F23" s="156"/>
      <c r="G23" s="136"/>
      <c r="H23" s="158"/>
      <c r="I23" s="154"/>
      <c r="J23" s="154"/>
    </row>
    <row r="24" spans="1:10" x14ac:dyDescent="0.25">
      <c r="A24" s="156"/>
      <c r="B24" s="157"/>
      <c r="C24" s="156"/>
      <c r="D24" s="156"/>
      <c r="E24" s="97" t="str">
        <f>IF($A24="","",IF($B24="","",IF('4. Purchased Energy Rates'!$B$4="Section 11 ECB",VLOOKUP($A24,'Lighting Lookup'!$E$2:$G$106,2),VLOOKUP($A24,'Lighting Lookup'!$E$2:$G$106,3))))</f>
        <v/>
      </c>
      <c r="F24" s="156"/>
      <c r="G24" s="136"/>
      <c r="H24" s="158"/>
      <c r="I24" s="154"/>
      <c r="J24" s="154"/>
    </row>
    <row r="25" spans="1:10" x14ac:dyDescent="0.25">
      <c r="A25" s="156"/>
      <c r="B25" s="157"/>
      <c r="C25" s="156"/>
      <c r="D25" s="156"/>
      <c r="E25" s="97" t="str">
        <f>IF($A25="","",IF($B25="","",IF('4. Purchased Energy Rates'!$B$4="Section 11 ECB",VLOOKUP($A25,'Lighting Lookup'!$E$2:$G$106,2),VLOOKUP($A25,'Lighting Lookup'!$E$2:$G$106,3))))</f>
        <v/>
      </c>
      <c r="F25" s="156"/>
      <c r="G25" s="136"/>
      <c r="H25" s="158"/>
      <c r="I25" s="154"/>
      <c r="J25" s="154"/>
    </row>
    <row r="26" spans="1:10" x14ac:dyDescent="0.25">
      <c r="A26" s="156"/>
      <c r="B26" s="157"/>
      <c r="C26" s="156"/>
      <c r="D26" s="156"/>
      <c r="E26" s="97" t="str">
        <f>IF($A26="","",IF($B26="","",IF('4. Purchased Energy Rates'!$B$4="Section 11 ECB",VLOOKUP($A26,'Lighting Lookup'!$E$2:$G$106,2),VLOOKUP($A26,'Lighting Lookup'!$E$2:$G$106,3))))</f>
        <v/>
      </c>
      <c r="F26" s="156"/>
      <c r="G26" s="136"/>
      <c r="H26" s="158"/>
      <c r="I26" s="154"/>
      <c r="J26" s="154"/>
    </row>
    <row r="27" spans="1:10" x14ac:dyDescent="0.25">
      <c r="A27" s="156"/>
      <c r="B27" s="157"/>
      <c r="C27" s="156"/>
      <c r="D27" s="156"/>
      <c r="E27" s="97" t="str">
        <f>IF($A27="","",IF($B27="","",IF('4. Purchased Energy Rates'!$B$4="Section 11 ECB",VLOOKUP($A27,'Lighting Lookup'!$E$2:$G$106,2),VLOOKUP($A27,'Lighting Lookup'!$E$2:$G$106,3))))</f>
        <v/>
      </c>
      <c r="F27" s="156"/>
      <c r="G27" s="136"/>
      <c r="H27" s="158"/>
      <c r="I27" s="154"/>
      <c r="J27" s="154"/>
    </row>
    <row r="28" spans="1:10" x14ac:dyDescent="0.25">
      <c r="A28" s="156"/>
      <c r="B28" s="157"/>
      <c r="C28" s="156"/>
      <c r="D28" s="156"/>
      <c r="E28" s="97" t="str">
        <f>IF($A28="","",IF($B28="","",IF('4. Purchased Energy Rates'!$B$4="Section 11 ECB",VLOOKUP($A28,'Lighting Lookup'!$E$2:$G$106,2),VLOOKUP($A28,'Lighting Lookup'!$E$2:$G$106,3))))</f>
        <v/>
      </c>
      <c r="F28" s="156"/>
      <c r="G28" s="136"/>
      <c r="H28" s="158"/>
      <c r="I28" s="154"/>
      <c r="J28" s="154"/>
    </row>
    <row r="29" spans="1:10" x14ac:dyDescent="0.25">
      <c r="A29" s="54" t="s">
        <v>54</v>
      </c>
      <c r="B29" s="99">
        <f>IF(B5="","",SUM(B5:B28))</f>
        <v>1</v>
      </c>
      <c r="C29" s="55"/>
      <c r="D29" s="55"/>
      <c r="E29" s="98">
        <f>IF(B29="","",SUMPRODUCT(B5:B28,E5:E28)/B29)</f>
        <v>1.24</v>
      </c>
      <c r="F29" s="55"/>
      <c r="G29" s="54"/>
      <c r="H29" s="98">
        <f>IF(H5="","",SUMPRODUCT(B5:B28,H5:H28)/B29)</f>
        <v>1.24</v>
      </c>
      <c r="I29" s="159"/>
      <c r="J29" s="159"/>
    </row>
    <row r="36" spans="3:3" x14ac:dyDescent="0.25">
      <c r="C36" s="160"/>
    </row>
  </sheetData>
  <sheetProtection password="C5B9" sheet="1" objects="1" scenarios="1"/>
  <mergeCells count="10">
    <mergeCell ref="F2:J2"/>
    <mergeCell ref="C2:E2"/>
    <mergeCell ref="I3:I4"/>
    <mergeCell ref="J3:J4"/>
    <mergeCell ref="A2:A4"/>
    <mergeCell ref="B2:B4"/>
    <mergeCell ref="C3:C4"/>
    <mergeCell ref="D3:D4"/>
    <mergeCell ref="F3:F4"/>
    <mergeCell ref="G3:G4"/>
  </mergeCells>
  <dataValidations count="2">
    <dataValidation type="list" allowBlank="1" showInputMessage="1" showErrorMessage="1" sqref="C5:D28 F5:G28">
      <formula1>Yes_No</formula1>
    </dataValidation>
    <dataValidation type="list" allowBlank="1" showInputMessage="1" showErrorMessage="1" sqref="A5:A28">
      <formula1>Ltg_Space</formula1>
    </dataValidation>
  </dataValidations>
  <pageMargins left="0.7" right="0.7" top="0.75" bottom="0.75" header="0.3" footer="0.3"/>
  <pageSetup scale="79" orientation="portrait" r:id="rId1"/>
  <headerFooter>
    <oddHeader>&amp;L&amp;G&amp;C&amp;G</oddHeader>
    <oddFooter>&amp;RNovember 2016</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2:J29"/>
  <sheetViews>
    <sheetView zoomScaleNormal="100" zoomScaleSheetLayoutView="115" workbookViewId="0">
      <selection activeCell="A5" sqref="A5"/>
    </sheetView>
  </sheetViews>
  <sheetFormatPr defaultRowHeight="15" x14ac:dyDescent="0.25"/>
  <cols>
    <col min="1" max="1" width="26.7109375" style="12" customWidth="1"/>
    <col min="2" max="2" width="14.140625" style="12" customWidth="1"/>
    <col min="3" max="4" width="6.42578125" style="12" customWidth="1"/>
    <col min="5" max="5" width="7" style="13" customWidth="1"/>
    <col min="6" max="7" width="6.42578125" style="12" customWidth="1"/>
    <col min="8" max="8" width="7" style="12" customWidth="1"/>
    <col min="9" max="10" width="11.5703125" style="12" customWidth="1"/>
  </cols>
  <sheetData>
    <row r="2" spans="1:10" ht="56.25" customHeight="1" x14ac:dyDescent="0.25">
      <c r="A2" s="435" t="s">
        <v>197</v>
      </c>
      <c r="B2" s="435" t="s">
        <v>271</v>
      </c>
      <c r="C2" s="435" t="s">
        <v>23</v>
      </c>
      <c r="D2" s="435"/>
      <c r="E2" s="435"/>
      <c r="F2" s="435" t="s">
        <v>24</v>
      </c>
      <c r="G2" s="435"/>
      <c r="H2" s="435"/>
      <c r="I2" s="435"/>
      <c r="J2" s="435"/>
    </row>
    <row r="3" spans="1:10" ht="22.5" x14ac:dyDescent="0.25">
      <c r="A3" s="435"/>
      <c r="B3" s="435"/>
      <c r="C3" s="435" t="s">
        <v>198</v>
      </c>
      <c r="D3" s="435" t="s">
        <v>199</v>
      </c>
      <c r="E3" s="50" t="s">
        <v>200</v>
      </c>
      <c r="F3" s="435" t="s">
        <v>198</v>
      </c>
      <c r="G3" s="435" t="s">
        <v>199</v>
      </c>
      <c r="H3" s="51" t="s">
        <v>200</v>
      </c>
      <c r="I3" s="435" t="s">
        <v>21</v>
      </c>
      <c r="J3" s="435" t="s">
        <v>123</v>
      </c>
    </row>
    <row r="4" spans="1:10" x14ac:dyDescent="0.25">
      <c r="A4" s="435"/>
      <c r="B4" s="435"/>
      <c r="C4" s="435"/>
      <c r="D4" s="435"/>
      <c r="E4" s="52" t="s">
        <v>201</v>
      </c>
      <c r="F4" s="435"/>
      <c r="G4" s="435"/>
      <c r="H4" s="53" t="s">
        <v>201</v>
      </c>
      <c r="I4" s="435"/>
      <c r="J4" s="435"/>
    </row>
    <row r="5" spans="1:10" x14ac:dyDescent="0.25">
      <c r="A5" s="156" t="s">
        <v>231</v>
      </c>
      <c r="B5" s="157"/>
      <c r="C5" s="156"/>
      <c r="D5" s="156"/>
      <c r="E5" s="97" t="str">
        <f>IF($A5="","",IF($B5="","",IF('4. Purchased Energy Rates'!$B$4="Section 11 ECB",VLOOKUP($A5,'Lighting Lookup'!$A$2:$C$33,2),VLOOKUP($A5,'Lighting Lookup'!$A$2:$C$33,3))))</f>
        <v/>
      </c>
      <c r="F5" s="156"/>
      <c r="G5" s="136"/>
      <c r="H5" s="158"/>
      <c r="I5" s="154"/>
      <c r="J5" s="154"/>
    </row>
    <row r="6" spans="1:10" x14ac:dyDescent="0.25">
      <c r="A6" s="156"/>
      <c r="B6" s="157"/>
      <c r="C6" s="156"/>
      <c r="D6" s="156"/>
      <c r="E6" s="97" t="str">
        <f>IF($A6="","",IF($B6="","",IF('4. Purchased Energy Rates'!$B$4="Section 11 ECB",VLOOKUP($A6,'Lighting Lookup'!$A$2:$C$33,2),VLOOKUP($A6,'Lighting Lookup'!$A$2:$C$33,3))))</f>
        <v/>
      </c>
      <c r="F6" s="156"/>
      <c r="G6" s="136"/>
      <c r="H6" s="158"/>
      <c r="I6" s="154"/>
      <c r="J6" s="154"/>
    </row>
    <row r="7" spans="1:10" x14ac:dyDescent="0.25">
      <c r="A7" s="156"/>
      <c r="B7" s="157"/>
      <c r="C7" s="156"/>
      <c r="D7" s="156"/>
      <c r="E7" s="97" t="str">
        <f>IF($A7="","",IF($B7="","",IF('4. Purchased Energy Rates'!$B$4="Section 11 ECB",VLOOKUP($A7,'Lighting Lookup'!$A$2:$C$33,2),VLOOKUP($A7,'Lighting Lookup'!$A$2:$C$33,3))))</f>
        <v/>
      </c>
      <c r="F7" s="156"/>
      <c r="G7" s="136"/>
      <c r="H7" s="158"/>
      <c r="I7" s="154"/>
      <c r="J7" s="154"/>
    </row>
    <row r="8" spans="1:10" x14ac:dyDescent="0.25">
      <c r="A8" s="156"/>
      <c r="B8" s="157"/>
      <c r="C8" s="156"/>
      <c r="D8" s="156"/>
      <c r="E8" s="97" t="str">
        <f>IF($A8="","",IF($B8="","",IF('4. Purchased Energy Rates'!$B$4="Section 11 ECB",VLOOKUP($A8,'Lighting Lookup'!$A$2:$C$33,2),VLOOKUP($A8,'Lighting Lookup'!$A$2:$C$33,3))))</f>
        <v/>
      </c>
      <c r="F8" s="156"/>
      <c r="G8" s="136"/>
      <c r="H8" s="158"/>
      <c r="I8" s="154"/>
      <c r="J8" s="154"/>
    </row>
    <row r="9" spans="1:10" x14ac:dyDescent="0.25">
      <c r="A9" s="156"/>
      <c r="B9" s="157"/>
      <c r="C9" s="156"/>
      <c r="D9" s="156"/>
      <c r="E9" s="97" t="str">
        <f>IF($A9="","",IF($B9="","",IF('4. Purchased Energy Rates'!$B$4="Section 11 ECB",VLOOKUP($A9,'Lighting Lookup'!$A$2:$C$33,2),VLOOKUP($A9,'Lighting Lookup'!$A$2:$C$33,3))))</f>
        <v/>
      </c>
      <c r="F9" s="156"/>
      <c r="G9" s="136"/>
      <c r="H9" s="158"/>
      <c r="I9" s="154"/>
      <c r="J9" s="154"/>
    </row>
    <row r="10" spans="1:10" x14ac:dyDescent="0.25">
      <c r="A10" s="156"/>
      <c r="B10" s="157"/>
      <c r="C10" s="156"/>
      <c r="D10" s="156"/>
      <c r="E10" s="97" t="str">
        <f>IF($A10="","",IF($B10="","",IF('4. Purchased Energy Rates'!$B$4="Section 11 ECB",VLOOKUP($A10,'Lighting Lookup'!$A$2:$C$33,2),VLOOKUP($A10,'Lighting Lookup'!$A$2:$C$33,3))))</f>
        <v/>
      </c>
      <c r="F10" s="156"/>
      <c r="G10" s="136"/>
      <c r="H10" s="158"/>
      <c r="I10" s="154"/>
      <c r="J10" s="154"/>
    </row>
    <row r="11" spans="1:10" x14ac:dyDescent="0.25">
      <c r="A11" s="156"/>
      <c r="B11" s="157"/>
      <c r="C11" s="156"/>
      <c r="D11" s="156"/>
      <c r="E11" s="97" t="str">
        <f>IF($A11="","",IF($B11="","",IF('4. Purchased Energy Rates'!$B$4="Section 11 ECB",VLOOKUP($A11,'Lighting Lookup'!$A$2:$C$33,2),VLOOKUP($A11,'Lighting Lookup'!$A$2:$C$33,3))))</f>
        <v/>
      </c>
      <c r="F11" s="156"/>
      <c r="G11" s="136"/>
      <c r="H11" s="158"/>
      <c r="I11" s="154"/>
      <c r="J11" s="154"/>
    </row>
    <row r="12" spans="1:10" x14ac:dyDescent="0.25">
      <c r="A12" s="156"/>
      <c r="B12" s="157"/>
      <c r="C12" s="156"/>
      <c r="D12" s="156"/>
      <c r="E12" s="97" t="str">
        <f>IF($A12="","",IF($B12="","",IF('4. Purchased Energy Rates'!$B$4="Section 11 ECB",VLOOKUP($A12,'Lighting Lookup'!$A$2:$C$33,2),VLOOKUP($A12,'Lighting Lookup'!$A$2:$C$33,3))))</f>
        <v/>
      </c>
      <c r="F12" s="156"/>
      <c r="G12" s="136"/>
      <c r="H12" s="158"/>
      <c r="I12" s="154"/>
      <c r="J12" s="154"/>
    </row>
    <row r="13" spans="1:10" x14ac:dyDescent="0.25">
      <c r="A13" s="156"/>
      <c r="B13" s="157"/>
      <c r="C13" s="156"/>
      <c r="D13" s="156"/>
      <c r="E13" s="97" t="str">
        <f>IF($A13="","",IF($B13="","",IF('4. Purchased Energy Rates'!$B$4="Section 11 ECB",VLOOKUP($A13,'Lighting Lookup'!$A$2:$C$33,2),VLOOKUP($A13,'Lighting Lookup'!$A$2:$C$33,3))))</f>
        <v/>
      </c>
      <c r="F13" s="156"/>
      <c r="G13" s="136"/>
      <c r="H13" s="158"/>
      <c r="I13" s="154"/>
      <c r="J13" s="154"/>
    </row>
    <row r="14" spans="1:10" x14ac:dyDescent="0.25">
      <c r="A14" s="156"/>
      <c r="B14" s="157"/>
      <c r="C14" s="156"/>
      <c r="D14" s="156"/>
      <c r="E14" s="97" t="str">
        <f>IF($A14="","",IF($B14="","",IF('4. Purchased Energy Rates'!$B$4="Section 11 ECB",VLOOKUP($A14,'Lighting Lookup'!$A$2:$C$33,2),VLOOKUP($A14,'Lighting Lookup'!$A$2:$C$33,3))))</f>
        <v/>
      </c>
      <c r="F14" s="156"/>
      <c r="G14" s="136"/>
      <c r="H14" s="158"/>
      <c r="I14" s="154"/>
      <c r="J14" s="154"/>
    </row>
    <row r="15" spans="1:10" x14ac:dyDescent="0.25">
      <c r="A15" s="156"/>
      <c r="B15" s="157"/>
      <c r="C15" s="156"/>
      <c r="D15" s="156"/>
      <c r="E15" s="97" t="str">
        <f>IF($A15="","",IF($B15="","",IF('4. Purchased Energy Rates'!$B$4="Section 11 ECB",VLOOKUP($A15,'Lighting Lookup'!$A$2:$C$33,2),VLOOKUP($A15,'Lighting Lookup'!$A$2:$C$33,3))))</f>
        <v/>
      </c>
      <c r="F15" s="156"/>
      <c r="G15" s="136"/>
      <c r="H15" s="158"/>
      <c r="I15" s="154"/>
      <c r="J15" s="154"/>
    </row>
    <row r="16" spans="1:10" x14ac:dyDescent="0.25">
      <c r="A16" s="156"/>
      <c r="B16" s="157"/>
      <c r="C16" s="156"/>
      <c r="D16" s="156"/>
      <c r="E16" s="97" t="str">
        <f>IF($A16="","",IF($B16="","",IF('4. Purchased Energy Rates'!$B$4="Section 11 ECB",VLOOKUP($A16,'Lighting Lookup'!$A$2:$C$33,2),VLOOKUP($A16,'Lighting Lookup'!$A$2:$C$33,3))))</f>
        <v/>
      </c>
      <c r="F16" s="156"/>
      <c r="G16" s="136"/>
      <c r="H16" s="158"/>
      <c r="I16" s="154"/>
      <c r="J16" s="154"/>
    </row>
    <row r="17" spans="1:10" x14ac:dyDescent="0.25">
      <c r="A17" s="156"/>
      <c r="B17" s="157"/>
      <c r="C17" s="156"/>
      <c r="D17" s="156"/>
      <c r="E17" s="97" t="str">
        <f>IF($A17="","",IF($B17="","",IF('4. Purchased Energy Rates'!$B$4="Section 11 ECB",VLOOKUP($A17,'Lighting Lookup'!$A$2:$C$33,2),VLOOKUP($A17,'Lighting Lookup'!$A$2:$C$33,3))))</f>
        <v/>
      </c>
      <c r="F17" s="156"/>
      <c r="G17" s="136"/>
      <c r="H17" s="158"/>
      <c r="I17" s="154"/>
      <c r="J17" s="154"/>
    </row>
    <row r="18" spans="1:10" x14ac:dyDescent="0.25">
      <c r="A18" s="156"/>
      <c r="B18" s="157"/>
      <c r="C18" s="156"/>
      <c r="D18" s="156"/>
      <c r="E18" s="97" t="str">
        <f>IF($A18="","",IF($B18="","",IF('4. Purchased Energy Rates'!$B$4="Section 11 ECB",VLOOKUP($A18,'Lighting Lookup'!$A$2:$C$33,2),VLOOKUP($A18,'Lighting Lookup'!$A$2:$C$33,3))))</f>
        <v/>
      </c>
      <c r="F18" s="156"/>
      <c r="G18" s="136"/>
      <c r="H18" s="158"/>
      <c r="I18" s="154"/>
      <c r="J18" s="154"/>
    </row>
    <row r="19" spans="1:10" x14ac:dyDescent="0.25">
      <c r="A19" s="156"/>
      <c r="B19" s="157"/>
      <c r="C19" s="156"/>
      <c r="D19" s="156"/>
      <c r="E19" s="97" t="str">
        <f>IF($A19="","",IF($B19="","",IF('4. Purchased Energy Rates'!$B$4="Section 11 ECB",VLOOKUP($A19,'Lighting Lookup'!$A$2:$C$33,2),VLOOKUP($A19,'Lighting Lookup'!$A$2:$C$33,3))))</f>
        <v/>
      </c>
      <c r="F19" s="156"/>
      <c r="G19" s="136"/>
      <c r="H19" s="158"/>
      <c r="I19" s="154"/>
      <c r="J19" s="154"/>
    </row>
    <row r="20" spans="1:10" x14ac:dyDescent="0.25">
      <c r="A20" s="156"/>
      <c r="B20" s="157"/>
      <c r="C20" s="156"/>
      <c r="D20" s="156"/>
      <c r="E20" s="97" t="str">
        <f>IF($A20="","",IF($B20="","",IF('4. Purchased Energy Rates'!$B$4="Section 11 ECB",VLOOKUP($A20,'Lighting Lookup'!$A$2:$C$33,2),VLOOKUP($A20,'Lighting Lookup'!$A$2:$C$33,3))))</f>
        <v/>
      </c>
      <c r="F20" s="156"/>
      <c r="G20" s="136"/>
      <c r="H20" s="158"/>
      <c r="I20" s="154"/>
      <c r="J20" s="154"/>
    </row>
    <row r="21" spans="1:10" x14ac:dyDescent="0.25">
      <c r="A21" s="156"/>
      <c r="B21" s="157"/>
      <c r="C21" s="156"/>
      <c r="D21" s="156"/>
      <c r="E21" s="97" t="str">
        <f>IF($A21="","",IF($B21="","",IF('4. Purchased Energy Rates'!$B$4="Section 11 ECB",VLOOKUP($A21,'Lighting Lookup'!$A$2:$C$33,2),VLOOKUP($A21,'Lighting Lookup'!$A$2:$C$33,3))))</f>
        <v/>
      </c>
      <c r="F21" s="156"/>
      <c r="G21" s="136"/>
      <c r="H21" s="158"/>
      <c r="I21" s="154"/>
      <c r="J21" s="154"/>
    </row>
    <row r="22" spans="1:10" x14ac:dyDescent="0.25">
      <c r="A22" s="156"/>
      <c r="B22" s="157"/>
      <c r="C22" s="156"/>
      <c r="D22" s="156"/>
      <c r="E22" s="97" t="str">
        <f>IF($A22="","",IF($B22="","",IF('4. Purchased Energy Rates'!$B$4="Section 11 ECB",VLOOKUP($A22,'Lighting Lookup'!$A$2:$C$33,2),VLOOKUP($A22,'Lighting Lookup'!$A$2:$C$33,3))))</f>
        <v/>
      </c>
      <c r="F22" s="156"/>
      <c r="G22" s="136"/>
      <c r="H22" s="158"/>
      <c r="I22" s="154"/>
      <c r="J22" s="154"/>
    </row>
    <row r="23" spans="1:10" x14ac:dyDescent="0.25">
      <c r="A23" s="156"/>
      <c r="B23" s="157"/>
      <c r="C23" s="156"/>
      <c r="D23" s="156"/>
      <c r="E23" s="97" t="str">
        <f>IF($A23="","",IF($B23="","",IF('4. Purchased Energy Rates'!$B$4="Section 11 ECB",VLOOKUP($A23,'Lighting Lookup'!$A$2:$C$33,2),VLOOKUP($A23,'Lighting Lookup'!$A$2:$C$33,3))))</f>
        <v/>
      </c>
      <c r="F23" s="156"/>
      <c r="G23" s="136"/>
      <c r="H23" s="158"/>
      <c r="I23" s="154"/>
      <c r="J23" s="154"/>
    </row>
    <row r="24" spans="1:10" x14ac:dyDescent="0.25">
      <c r="A24" s="156"/>
      <c r="B24" s="157"/>
      <c r="C24" s="156"/>
      <c r="D24" s="156"/>
      <c r="E24" s="97" t="str">
        <f>IF($A24="","",IF($B24="","",IF('4. Purchased Energy Rates'!$B$4="Section 11 ECB",VLOOKUP($A24,'Lighting Lookup'!$A$2:$C$33,2),VLOOKUP($A24,'Lighting Lookup'!$A$2:$C$33,3))))</f>
        <v/>
      </c>
      <c r="F24" s="156"/>
      <c r="G24" s="136"/>
      <c r="H24" s="158"/>
      <c r="I24" s="154"/>
      <c r="J24" s="154"/>
    </row>
    <row r="25" spans="1:10" x14ac:dyDescent="0.25">
      <c r="A25" s="156"/>
      <c r="B25" s="157"/>
      <c r="C25" s="156"/>
      <c r="D25" s="156"/>
      <c r="E25" s="97" t="str">
        <f>IF($A25="","",IF($B25="","",IF('4. Purchased Energy Rates'!$B$4="Section 11 ECB",VLOOKUP($A25,'Lighting Lookup'!$A$2:$C$33,2),VLOOKUP($A25,'Lighting Lookup'!$A$2:$C$33,3))))</f>
        <v/>
      </c>
      <c r="F25" s="156"/>
      <c r="G25" s="136"/>
      <c r="H25" s="158"/>
      <c r="I25" s="154"/>
      <c r="J25" s="154"/>
    </row>
    <row r="26" spans="1:10" x14ac:dyDescent="0.25">
      <c r="A26" s="156"/>
      <c r="B26" s="157"/>
      <c r="C26" s="156"/>
      <c r="D26" s="156"/>
      <c r="E26" s="97" t="str">
        <f>IF($A26="","",IF($B26="","",IF('4. Purchased Energy Rates'!$B$4="Section 11 ECB",VLOOKUP($A26,'Lighting Lookup'!$A$2:$C$33,2),VLOOKUP($A26,'Lighting Lookup'!$A$2:$C$33,3))))</f>
        <v/>
      </c>
      <c r="F26" s="156"/>
      <c r="G26" s="136"/>
      <c r="H26" s="158"/>
      <c r="I26" s="154"/>
      <c r="J26" s="154"/>
    </row>
    <row r="27" spans="1:10" x14ac:dyDescent="0.25">
      <c r="A27" s="156"/>
      <c r="B27" s="157"/>
      <c r="C27" s="156"/>
      <c r="D27" s="156"/>
      <c r="E27" s="97" t="str">
        <f>IF($A27="","",IF($B27="","",IF('4. Purchased Energy Rates'!$B$4="Section 11 ECB",VLOOKUP($A27,'Lighting Lookup'!$A$2:$C$33,2),VLOOKUP($A27,'Lighting Lookup'!$A$2:$C$33,3))))</f>
        <v/>
      </c>
      <c r="F27" s="156"/>
      <c r="G27" s="136"/>
      <c r="H27" s="158"/>
      <c r="I27" s="154"/>
      <c r="J27" s="154"/>
    </row>
    <row r="28" spans="1:10" x14ac:dyDescent="0.25">
      <c r="A28" s="156"/>
      <c r="B28" s="157"/>
      <c r="C28" s="156"/>
      <c r="D28" s="156"/>
      <c r="E28" s="97" t="str">
        <f>IF($A28="","",IF($B28="","",IF('4. Purchased Energy Rates'!$B$4="Section 11 ECB",VLOOKUP($A28,'Lighting Lookup'!$A$2:$C$33,2),VLOOKUP($A28,'Lighting Lookup'!$A$2:$C$33,3))))</f>
        <v/>
      </c>
      <c r="F28" s="156"/>
      <c r="G28" s="136"/>
      <c r="H28" s="158"/>
      <c r="I28" s="154"/>
      <c r="J28" s="154"/>
    </row>
    <row r="29" spans="1:10" x14ac:dyDescent="0.25">
      <c r="A29" s="54" t="s">
        <v>54</v>
      </c>
      <c r="B29" s="99" t="str">
        <f>IF(B5="","",SUM(B5:B28))</f>
        <v/>
      </c>
      <c r="C29" s="55"/>
      <c r="D29" s="55"/>
      <c r="E29" s="98" t="str">
        <f>IF(B29="","",SUMPRODUCT(B5:B28,E5:E28)/B29)</f>
        <v/>
      </c>
      <c r="F29" s="55"/>
      <c r="G29" s="54"/>
      <c r="H29" s="98" t="str">
        <f>IF(H5="","",SUMPRODUCT(B5:B28,H5:H28)/B29)</f>
        <v/>
      </c>
      <c r="I29" s="159"/>
      <c r="J29" s="159"/>
    </row>
  </sheetData>
  <sheetProtection password="C5B9" sheet="1" objects="1" scenarios="1"/>
  <mergeCells count="10">
    <mergeCell ref="A2:A4"/>
    <mergeCell ref="B2:B4"/>
    <mergeCell ref="C2:E2"/>
    <mergeCell ref="F2:J2"/>
    <mergeCell ref="C3:C4"/>
    <mergeCell ref="D3:D4"/>
    <mergeCell ref="F3:F4"/>
    <mergeCell ref="G3:G4"/>
    <mergeCell ref="I3:I4"/>
    <mergeCell ref="J3:J4"/>
  </mergeCells>
  <dataValidations count="2">
    <dataValidation type="list" allowBlank="1" showInputMessage="1" showErrorMessage="1" sqref="A5:A28">
      <formula1>Ltg_Bldg</formula1>
    </dataValidation>
    <dataValidation type="list" allowBlank="1" showInputMessage="1" showErrorMessage="1" sqref="C5:D28 F5:G28">
      <formula1>Yes_No</formula1>
    </dataValidation>
  </dataValidations>
  <pageMargins left="0.7" right="0.7" top="0.75" bottom="0.75" header="0.3" footer="0.3"/>
  <pageSetup scale="79" orientation="portrait" r:id="rId1"/>
  <headerFooter>
    <oddHeader>&amp;L&amp;G&amp;C&amp;G</oddHeader>
    <oddFooter>&amp;RNovember 2016</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3:J27"/>
  <sheetViews>
    <sheetView view="pageLayout" zoomScaleNormal="100" zoomScaleSheetLayoutView="115" workbookViewId="0">
      <selection activeCell="F15" sqref="F15"/>
    </sheetView>
  </sheetViews>
  <sheetFormatPr defaultRowHeight="15" x14ac:dyDescent="0.25"/>
  <cols>
    <col min="1" max="1" width="3.42578125" customWidth="1"/>
    <col min="2" max="2" width="13.140625" customWidth="1"/>
    <col min="3" max="3" width="11" customWidth="1"/>
    <col min="4" max="4" width="11.7109375" customWidth="1"/>
    <col min="5" max="5" width="12.85546875" customWidth="1"/>
    <col min="6" max="6" width="11.85546875" customWidth="1"/>
  </cols>
  <sheetData>
    <row r="3" spans="1:10" x14ac:dyDescent="0.25">
      <c r="A3" s="124" t="s">
        <v>698</v>
      </c>
      <c r="B3" s="535" t="s">
        <v>272</v>
      </c>
      <c r="C3" s="535"/>
      <c r="D3" s="535"/>
      <c r="E3" s="535"/>
      <c r="F3" s="535"/>
    </row>
    <row r="4" spans="1:10" ht="22.5" x14ac:dyDescent="0.25">
      <c r="A4" s="444"/>
      <c r="B4" s="444"/>
      <c r="C4" s="44" t="s">
        <v>273</v>
      </c>
      <c r="D4" s="44" t="s">
        <v>274</v>
      </c>
      <c r="E4" s="44" t="s">
        <v>21</v>
      </c>
      <c r="F4" s="44" t="s">
        <v>123</v>
      </c>
    </row>
    <row r="5" spans="1:10" ht="24" customHeight="1" x14ac:dyDescent="0.25">
      <c r="A5" s="444" t="s">
        <v>275</v>
      </c>
      <c r="B5" s="444"/>
      <c r="C5" s="100" t="str">
        <f>IF(SUM('Ext LPD Calculator'!J7:J21)=0,"",SUM('Ext LPD Calculator'!J7:J21))</f>
        <v/>
      </c>
      <c r="D5" s="100" t="str">
        <f>IF(SUM('Ext LPD Calculator'!I7:I21)=0,"",SUM('Ext LPD Calculator'!I7:I21))</f>
        <v/>
      </c>
      <c r="E5" s="154"/>
      <c r="F5" s="154" t="s">
        <v>699</v>
      </c>
    </row>
    <row r="6" spans="1:10" ht="24" customHeight="1" x14ac:dyDescent="0.25">
      <c r="A6" s="444" t="s">
        <v>276</v>
      </c>
      <c r="B6" s="444"/>
      <c r="C6" s="101" t="str">
        <f>IF(SUM('Ext LPD Calculator'!J22:J30)=0,"",SUM('Ext LPD Calculator'!J22:J30))</f>
        <v/>
      </c>
      <c r="D6" s="100" t="str">
        <f>IF(SUM('Ext LPD Calculator'!I22:I30)=0,"",SUM('Ext LPD Calculator'!I22:I30))</f>
        <v/>
      </c>
      <c r="E6" s="154"/>
      <c r="F6" s="154" t="s">
        <v>699</v>
      </c>
    </row>
    <row r="7" spans="1:10" x14ac:dyDescent="0.25">
      <c r="A7" s="444" t="s">
        <v>575</v>
      </c>
      <c r="B7" s="444"/>
      <c r="C7" s="101" t="str">
        <f>IF(AND(C5="",C6=""),"",'Ext LPD Calculator'!B4)</f>
        <v/>
      </c>
      <c r="D7" s="102"/>
      <c r="E7" s="154"/>
      <c r="F7" s="154"/>
    </row>
    <row r="8" spans="1:10" ht="23.25" customHeight="1" x14ac:dyDescent="0.25">
      <c r="A8" s="444" t="s">
        <v>277</v>
      </c>
      <c r="B8" s="444"/>
      <c r="C8" s="101" t="str">
        <f>IF(AND(C5="",C6=""),"",SUM(C5:C7)+'Ext LPD Calculator'!B4)</f>
        <v/>
      </c>
      <c r="D8" s="100" t="str">
        <f>IF(AND(D5="",D6=""),"",SUM(D5:D6))</f>
        <v/>
      </c>
      <c r="E8" s="154"/>
      <c r="F8" s="154" t="s">
        <v>699</v>
      </c>
    </row>
    <row r="9" spans="1:10" x14ac:dyDescent="0.25">
      <c r="A9" s="75" t="s">
        <v>438</v>
      </c>
    </row>
    <row r="12" spans="1:10" x14ac:dyDescent="0.25">
      <c r="A12" s="44" t="s">
        <v>339</v>
      </c>
      <c r="B12" s="444" t="s">
        <v>340</v>
      </c>
      <c r="C12" s="444"/>
      <c r="D12" s="444"/>
      <c r="E12" s="444"/>
      <c r="F12" s="444"/>
      <c r="G12" s="444"/>
      <c r="H12" s="444"/>
    </row>
    <row r="13" spans="1:10" ht="45" customHeight="1" x14ac:dyDescent="0.25">
      <c r="A13" s="440" t="s">
        <v>341</v>
      </c>
      <c r="B13" s="452"/>
      <c r="C13" s="44" t="s">
        <v>342</v>
      </c>
      <c r="D13" s="44" t="s">
        <v>343</v>
      </c>
      <c r="E13" s="44" t="s">
        <v>429</v>
      </c>
      <c r="F13" s="44" t="s">
        <v>344</v>
      </c>
      <c r="G13" s="44" t="s">
        <v>21</v>
      </c>
      <c r="H13" s="44" t="s">
        <v>123</v>
      </c>
    </row>
    <row r="14" spans="1:10" x14ac:dyDescent="0.25">
      <c r="A14" s="442"/>
      <c r="B14" s="453"/>
      <c r="C14" s="156" t="s">
        <v>345</v>
      </c>
      <c r="D14" s="100" t="str">
        <f>IF(C14="","",IF(C14="#","kW","W/SF"))</f>
        <v>W/SF</v>
      </c>
      <c r="E14" s="44"/>
      <c r="F14" s="44"/>
      <c r="G14" s="44"/>
      <c r="H14" s="44"/>
    </row>
    <row r="15" spans="1:10" x14ac:dyDescent="0.25">
      <c r="A15" s="439"/>
      <c r="B15" s="439"/>
      <c r="C15" s="161"/>
      <c r="D15" s="162"/>
      <c r="E15" s="154"/>
      <c r="F15" s="154"/>
      <c r="G15" s="154"/>
      <c r="H15" s="154"/>
      <c r="J15" s="163"/>
    </row>
    <row r="16" spans="1:10" x14ac:dyDescent="0.25">
      <c r="A16" s="439"/>
      <c r="B16" s="439"/>
      <c r="C16" s="161"/>
      <c r="D16" s="162"/>
      <c r="E16" s="154"/>
      <c r="F16" s="154"/>
      <c r="G16" s="154"/>
      <c r="H16" s="154"/>
      <c r="J16" s="163"/>
    </row>
    <row r="17" spans="1:8" x14ac:dyDescent="0.25">
      <c r="A17" s="439"/>
      <c r="B17" s="439"/>
      <c r="C17" s="161"/>
      <c r="D17" s="162"/>
      <c r="E17" s="154"/>
      <c r="F17" s="154"/>
      <c r="G17" s="154"/>
      <c r="H17" s="154"/>
    </row>
    <row r="18" spans="1:8" x14ac:dyDescent="0.25">
      <c r="A18" s="439"/>
      <c r="B18" s="439"/>
      <c r="C18" s="161"/>
      <c r="D18" s="162"/>
      <c r="E18" s="154"/>
      <c r="F18" s="154"/>
      <c r="G18" s="154"/>
      <c r="H18" s="154"/>
    </row>
    <row r="19" spans="1:8" x14ac:dyDescent="0.25">
      <c r="A19" s="439"/>
      <c r="B19" s="439"/>
      <c r="C19" s="161"/>
      <c r="D19" s="162"/>
      <c r="E19" s="154"/>
      <c r="F19" s="154"/>
      <c r="G19" s="154"/>
      <c r="H19" s="154"/>
    </row>
    <row r="20" spans="1:8" x14ac:dyDescent="0.25">
      <c r="A20" s="439"/>
      <c r="B20" s="439"/>
      <c r="C20" s="161"/>
      <c r="D20" s="162"/>
      <c r="E20" s="154"/>
      <c r="F20" s="154"/>
      <c r="G20" s="154"/>
      <c r="H20" s="154"/>
    </row>
    <row r="21" spans="1:8" x14ac:dyDescent="0.25">
      <c r="A21" s="439"/>
      <c r="B21" s="439"/>
      <c r="C21" s="161"/>
      <c r="D21" s="162"/>
      <c r="E21" s="154"/>
      <c r="F21" s="154"/>
      <c r="G21" s="154"/>
      <c r="H21" s="154"/>
    </row>
    <row r="22" spans="1:8" x14ac:dyDescent="0.25">
      <c r="A22" s="439"/>
      <c r="B22" s="439"/>
      <c r="C22" s="161"/>
      <c r="D22" s="162"/>
      <c r="E22" s="154"/>
      <c r="F22" s="154"/>
      <c r="G22" s="154"/>
      <c r="H22" s="154"/>
    </row>
    <row r="23" spans="1:8" x14ac:dyDescent="0.25">
      <c r="A23" s="439"/>
      <c r="B23" s="439"/>
      <c r="C23" s="161"/>
      <c r="D23" s="162"/>
      <c r="E23" s="154"/>
      <c r="F23" s="154"/>
      <c r="G23" s="154"/>
      <c r="H23" s="154"/>
    </row>
    <row r="24" spans="1:8" x14ac:dyDescent="0.25">
      <c r="A24" s="439"/>
      <c r="B24" s="439"/>
      <c r="C24" s="161"/>
      <c r="D24" s="162"/>
      <c r="E24" s="154"/>
      <c r="F24" s="154"/>
      <c r="G24" s="154"/>
      <c r="H24" s="154"/>
    </row>
    <row r="25" spans="1:8" x14ac:dyDescent="0.25">
      <c r="A25" s="439"/>
      <c r="B25" s="439"/>
      <c r="C25" s="161"/>
      <c r="D25" s="162"/>
      <c r="E25" s="154"/>
      <c r="F25" s="154"/>
      <c r="G25" s="154"/>
      <c r="H25" s="154"/>
    </row>
    <row r="26" spans="1:8" x14ac:dyDescent="0.25">
      <c r="A26" s="439"/>
      <c r="B26" s="439"/>
      <c r="C26" s="161"/>
      <c r="D26" s="162"/>
      <c r="E26" s="154"/>
      <c r="F26" s="154"/>
      <c r="G26" s="154"/>
      <c r="H26" s="154"/>
    </row>
    <row r="27" spans="1:8" x14ac:dyDescent="0.25">
      <c r="A27" s="444" t="s">
        <v>128</v>
      </c>
      <c r="B27" s="444"/>
      <c r="C27" s="103" t="str">
        <f>IF(SUM(C15:C26)=0,"",SUM(C15:C26))</f>
        <v/>
      </c>
      <c r="D27" s="103" t="str">
        <f>IF(SUM(D15:D26)=0,"",IF(D14="W/SF",SUMPRODUCT($C$15:$C$26,$D$15:$D$26)/1000,SUMPRODUCT($C$15:$C$26,$D$15:$D$26)))</f>
        <v/>
      </c>
      <c r="E27" s="44"/>
      <c r="F27" s="44"/>
      <c r="G27" s="44"/>
      <c r="H27" s="44"/>
    </row>
  </sheetData>
  <sheetProtection password="C5B9" sheet="1" objects="1" scenarios="1" insertRows="0"/>
  <mergeCells count="21">
    <mergeCell ref="B12:H12"/>
    <mergeCell ref="A15:B15"/>
    <mergeCell ref="A13:B14"/>
    <mergeCell ref="B3:F3"/>
    <mergeCell ref="A4:B4"/>
    <mergeCell ref="A5:B5"/>
    <mergeCell ref="A6:B6"/>
    <mergeCell ref="A7:B7"/>
    <mergeCell ref="A8:B8"/>
    <mergeCell ref="A27:B27"/>
    <mergeCell ref="A16:B16"/>
    <mergeCell ref="A17:B17"/>
    <mergeCell ref="A18:B18"/>
    <mergeCell ref="A19:B19"/>
    <mergeCell ref="A20:B20"/>
    <mergeCell ref="A21:B21"/>
    <mergeCell ref="A22:B22"/>
    <mergeCell ref="A23:B23"/>
    <mergeCell ref="A24:B24"/>
    <mergeCell ref="A25:B25"/>
    <mergeCell ref="A26:B26"/>
  </mergeCells>
  <dataValidations count="1">
    <dataValidation type="list" allowBlank="1" showInputMessage="1" showErrorMessage="1" sqref="F15:F26">
      <formula1>Yes_No</formula1>
    </dataValidation>
  </dataValidations>
  <pageMargins left="0.7" right="0.7" top="0.75" bottom="0.75" header="0.3" footer="0.3"/>
  <pageSetup orientation="portrait" r:id="rId1"/>
  <headerFooter>
    <oddHeader>&amp;L&amp;G&amp;C&amp;G</oddHeader>
    <oddFooter>&amp;RNovember 2016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Lists!$Q$1:$Q$2</xm:f>
          </x14:formula1>
          <xm:sqref>C14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2:W59"/>
  <sheetViews>
    <sheetView view="pageLayout" zoomScaleNormal="100" zoomScaleSheetLayoutView="115" workbookViewId="0">
      <selection activeCell="B3" sqref="B3"/>
    </sheetView>
  </sheetViews>
  <sheetFormatPr defaultRowHeight="15" x14ac:dyDescent="0.25"/>
  <cols>
    <col min="1" max="1" width="5.7109375" style="12" customWidth="1"/>
    <col min="2" max="2" width="14.42578125" style="12" customWidth="1"/>
    <col min="3" max="3" width="6.42578125" style="12" customWidth="1"/>
    <col min="4" max="4" width="7.85546875" style="12" customWidth="1"/>
    <col min="5" max="5" width="7" style="13" customWidth="1"/>
    <col min="6" max="6" width="7.85546875" style="12" customWidth="1"/>
    <col min="7" max="7" width="6.42578125" style="12" customWidth="1"/>
    <col min="8" max="8" width="7.85546875" style="12" customWidth="1"/>
    <col min="9" max="10" width="9.7109375" style="12" customWidth="1"/>
    <col min="11" max="11" width="6.5703125" customWidth="1"/>
    <col min="12" max="12" width="13.7109375" customWidth="1"/>
    <col min="14" max="14" width="2" hidden="1" customWidth="1"/>
    <col min="15" max="16" width="6.7109375" hidden="1" customWidth="1"/>
    <col min="17" max="17" width="2" hidden="1" customWidth="1"/>
    <col min="18" max="18" width="6" hidden="1" customWidth="1"/>
    <col min="19" max="19" width="0" hidden="1" customWidth="1"/>
  </cols>
  <sheetData>
    <row r="2" spans="1:23" x14ac:dyDescent="0.25">
      <c r="A2" s="31"/>
      <c r="B2" s="552" t="s">
        <v>279</v>
      </c>
      <c r="C2" s="552"/>
      <c r="D2" s="552"/>
      <c r="E2" s="552"/>
      <c r="F2" s="552"/>
      <c r="G2" s="552"/>
      <c r="H2" s="552"/>
    </row>
    <row r="3" spans="1:23" ht="43.9" customHeight="1" x14ac:dyDescent="0.25">
      <c r="A3" s="31"/>
      <c r="B3" s="57">
        <v>3</v>
      </c>
      <c r="C3" s="541" t="str">
        <f>IF(B3="","",LOOKUP(B3,LZ,LZDEC))</f>
        <v>M districts, except MX; C districts, except C5, C6 and C overlays on R</v>
      </c>
      <c r="D3" s="541"/>
      <c r="E3" s="541"/>
      <c r="F3" s="541"/>
      <c r="G3" s="541"/>
      <c r="H3" s="541"/>
      <c r="I3" s="32"/>
      <c r="J3" s="32"/>
    </row>
    <row r="4" spans="1:23" ht="15" customHeight="1" x14ac:dyDescent="0.25">
      <c r="B4" s="111">
        <f>IF(B3="","",IF($B3="","",IF('4. Purchased Energy Rates'!$B$4="Section 11 ECB",VLOOKUP(B3,'Lighting Zones'!B1:D6,3,FALSE),0)))</f>
        <v>750</v>
      </c>
      <c r="C4" s="541" t="s">
        <v>280</v>
      </c>
      <c r="D4" s="541"/>
      <c r="E4" s="541"/>
      <c r="F4" s="541"/>
      <c r="G4" s="541"/>
      <c r="H4" s="541"/>
    </row>
    <row r="6" spans="1:23" ht="33.75" customHeight="1" x14ac:dyDescent="0.25">
      <c r="A6" s="19"/>
      <c r="B6" s="56" t="s">
        <v>60</v>
      </c>
      <c r="C6" s="435" t="s">
        <v>61</v>
      </c>
      <c r="D6" s="435"/>
      <c r="E6" s="435"/>
      <c r="F6" s="435"/>
      <c r="G6" s="435"/>
      <c r="H6" s="56" t="s">
        <v>414</v>
      </c>
      <c r="I6" s="44" t="s">
        <v>327</v>
      </c>
      <c r="J6" s="44" t="s">
        <v>118</v>
      </c>
      <c r="K6" s="447" t="s">
        <v>278</v>
      </c>
      <c r="L6" s="449"/>
      <c r="N6" s="15"/>
      <c r="O6" s="15"/>
      <c r="P6" s="15"/>
      <c r="Q6" s="15"/>
      <c r="R6" s="15"/>
      <c r="S6" s="15"/>
      <c r="T6" s="15"/>
      <c r="U6" s="15"/>
      <c r="V6" s="15"/>
      <c r="W6" s="15"/>
    </row>
    <row r="7" spans="1:23" ht="23.25" x14ac:dyDescent="0.25">
      <c r="A7" s="536" t="s">
        <v>58</v>
      </c>
      <c r="B7" s="36" t="s">
        <v>312</v>
      </c>
      <c r="C7" s="538" t="s">
        <v>63</v>
      </c>
      <c r="D7" s="539"/>
      <c r="E7" s="539"/>
      <c r="F7" s="539"/>
      <c r="G7" s="540"/>
      <c r="H7" s="164"/>
      <c r="I7" s="164"/>
      <c r="J7" s="104" t="str">
        <f t="shared" ref="J7:J21" si="0">IF(H7="","",H7*K7)</f>
        <v/>
      </c>
      <c r="K7" s="105">
        <f>IF($B$3&lt;&gt;"",IF($B$3=0,0,IF($B3="","",IF('4. Purchased Energy Rates'!$B$4="Section 11 ECB",IF($B$3=1,0.04,IF($B$3=2,0.06,IF($B$3=3,0.1,0.13))),0.15))))</f>
        <v>0.1</v>
      </c>
      <c r="L7" s="106" t="s">
        <v>323</v>
      </c>
      <c r="N7" s="15"/>
      <c r="O7" s="15"/>
      <c r="P7" s="15"/>
      <c r="Q7" s="15"/>
      <c r="R7" s="15"/>
      <c r="S7" s="15"/>
      <c r="T7" s="15"/>
      <c r="U7" s="15"/>
      <c r="V7" s="15"/>
      <c r="W7" s="15"/>
    </row>
    <row r="8" spans="1:23" x14ac:dyDescent="0.25">
      <c r="A8" s="537"/>
      <c r="B8" s="553" t="s">
        <v>313</v>
      </c>
      <c r="C8" s="538" t="s">
        <v>315</v>
      </c>
      <c r="D8" s="539"/>
      <c r="E8" s="539"/>
      <c r="F8" s="539"/>
      <c r="G8" s="540"/>
      <c r="H8" s="164"/>
      <c r="I8" s="164"/>
      <c r="J8" s="104" t="str">
        <f t="shared" si="0"/>
        <v/>
      </c>
      <c r="K8" s="105">
        <f>IF($B$3&lt;&gt;"",IF($B$3=0,0,IF($B3="","",IF('4. Purchased Energy Rates'!$B$4="Section 11 ECB",IF($B$3=1,0.7,IF($B$3=2,0.7,IF($B$3=3,0.8,1))),1))))</f>
        <v>0.8</v>
      </c>
      <c r="L8" s="106" t="s">
        <v>323</v>
      </c>
      <c r="N8" s="15"/>
      <c r="O8" s="15"/>
      <c r="P8" s="15"/>
      <c r="Q8" s="15"/>
      <c r="R8" s="15"/>
      <c r="S8" s="15"/>
      <c r="T8" s="15"/>
      <c r="U8" s="15"/>
      <c r="V8" s="15"/>
      <c r="W8" s="15"/>
    </row>
    <row r="9" spans="1:23" x14ac:dyDescent="0.25">
      <c r="A9" s="537"/>
      <c r="B9" s="546"/>
      <c r="C9" s="538" t="s">
        <v>314</v>
      </c>
      <c r="D9" s="539"/>
      <c r="E9" s="539"/>
      <c r="F9" s="539"/>
      <c r="G9" s="540"/>
      <c r="H9" s="164"/>
      <c r="I9" s="164"/>
      <c r="J9" s="104" t="str">
        <f t="shared" si="0"/>
        <v/>
      </c>
      <c r="K9" s="105">
        <f>IF($B$3&lt;&gt;"",IF($B$3=0,0,IF($B3="","",IF('4. Purchased Energy Rates'!$B$4="Section 11 ECB",IF($B$3=1,0.14,IF($B$3=2,0.14,IF($B$3=3,0.16,0.2))),0.2))))</f>
        <v>0.16</v>
      </c>
      <c r="L9" s="106" t="s">
        <v>323</v>
      </c>
      <c r="N9" s="15"/>
      <c r="O9" s="15"/>
      <c r="P9" s="15"/>
      <c r="Q9" s="15"/>
      <c r="R9" s="15"/>
      <c r="S9" s="15"/>
      <c r="T9" s="15"/>
      <c r="U9" s="15"/>
      <c r="V9" s="15"/>
      <c r="W9" s="15"/>
    </row>
    <row r="10" spans="1:23" x14ac:dyDescent="0.25">
      <c r="A10" s="537"/>
      <c r="B10" s="546"/>
      <c r="C10" s="538" t="s">
        <v>317</v>
      </c>
      <c r="D10" s="539"/>
      <c r="E10" s="539"/>
      <c r="F10" s="539"/>
      <c r="G10" s="540"/>
      <c r="H10" s="164"/>
      <c r="I10" s="164"/>
      <c r="J10" s="104" t="str">
        <f t="shared" si="0"/>
        <v/>
      </c>
      <c r="K10" s="105">
        <f>IF($B$3&lt;&gt;"",IF($B$3=0,0,IF($B3="","",IF('4. Purchased Energy Rates'!$B$4="Section 11 ECB",IF($B$3=1,0.14,IF($B$3=2,0.14,IF($B$3=3,0.16,0.2))),0.2))))</f>
        <v>0.16</v>
      </c>
      <c r="L10" s="106" t="s">
        <v>323</v>
      </c>
      <c r="N10" s="15"/>
      <c r="O10" s="15"/>
      <c r="P10" s="15"/>
      <c r="Q10" s="15"/>
      <c r="R10" s="15"/>
      <c r="S10" s="15"/>
      <c r="T10" s="15"/>
      <c r="U10" s="15"/>
      <c r="V10" s="15"/>
      <c r="W10" s="15"/>
    </row>
    <row r="11" spans="1:23" x14ac:dyDescent="0.25">
      <c r="A11" s="537"/>
      <c r="B11" s="546"/>
      <c r="C11" s="538" t="s">
        <v>316</v>
      </c>
      <c r="D11" s="539"/>
      <c r="E11" s="539"/>
      <c r="F11" s="539"/>
      <c r="G11" s="540"/>
      <c r="H11" s="164"/>
      <c r="I11" s="164"/>
      <c r="J11" s="104" t="str">
        <f t="shared" si="0"/>
        <v/>
      </c>
      <c r="K11" s="105">
        <f>IF($B$3&lt;&gt;"",IF($B$3=0,0,IF($B3="","",IF('4. Purchased Energy Rates'!$B$4="Section 11 ECB",IF($B$3=1,0.14,IF($B$3=2,0.14,IF($B$3=3,0.16,0.2))),1))))</f>
        <v>0.16</v>
      </c>
      <c r="L11" s="106" t="s">
        <v>323</v>
      </c>
      <c r="N11" s="15"/>
      <c r="O11" s="15"/>
      <c r="P11" s="15"/>
      <c r="Q11" s="15"/>
      <c r="R11" s="15"/>
      <c r="S11" s="15"/>
      <c r="T11" s="15"/>
      <c r="U11" s="15"/>
      <c r="V11" s="15"/>
      <c r="W11" s="15"/>
    </row>
    <row r="12" spans="1:23" ht="15" customHeight="1" x14ac:dyDescent="0.25">
      <c r="A12" s="537"/>
      <c r="B12" s="546"/>
      <c r="C12" s="538" t="s">
        <v>318</v>
      </c>
      <c r="D12" s="539"/>
      <c r="E12" s="539"/>
      <c r="F12" s="539"/>
      <c r="G12" s="540"/>
      <c r="H12" s="164"/>
      <c r="I12" s="164"/>
      <c r="J12" s="104" t="str">
        <f t="shared" si="0"/>
        <v/>
      </c>
      <c r="K12" s="105">
        <f>IF($B$3&lt;&gt;"",IF($B$3=0,0,IF($B$3=1,0.75,IF($B$3=2,1,IF($B$3=3,1,1)))),"")</f>
        <v>1</v>
      </c>
      <c r="L12" s="106" t="s">
        <v>323</v>
      </c>
      <c r="N12" s="15"/>
      <c r="O12" s="15"/>
      <c r="P12" s="15"/>
      <c r="Q12" s="15"/>
      <c r="R12" s="15"/>
      <c r="S12" s="15"/>
      <c r="T12" s="15"/>
      <c r="U12" s="15"/>
      <c r="V12" s="15"/>
      <c r="W12" s="15"/>
    </row>
    <row r="13" spans="1:23" x14ac:dyDescent="0.25">
      <c r="A13" s="537"/>
      <c r="B13" s="546"/>
      <c r="C13" s="538" t="s">
        <v>319</v>
      </c>
      <c r="D13" s="539"/>
      <c r="E13" s="539"/>
      <c r="F13" s="539"/>
      <c r="G13" s="540"/>
      <c r="H13" s="164"/>
      <c r="I13" s="164"/>
      <c r="J13" s="104" t="str">
        <f t="shared" si="0"/>
        <v/>
      </c>
      <c r="K13" s="105">
        <f>IF($B$3&lt;&gt;"",IF($B$3=0,0,IF($B3="","",IF('4. Purchased Energy Rates'!$B$4="Section 11 ECB",IF($B$3=1,0.15,IF($B$3=2,0.15,IF($B$3=3,0.2,0.3))),I13))))</f>
        <v>0.2</v>
      </c>
      <c r="L13" s="106" t="s">
        <v>323</v>
      </c>
      <c r="N13" s="15"/>
      <c r="O13" s="15"/>
      <c r="P13" s="15"/>
      <c r="Q13" s="15"/>
      <c r="R13" s="15"/>
      <c r="S13" s="15"/>
      <c r="T13" s="15"/>
      <c r="U13" s="15"/>
      <c r="V13" s="15"/>
      <c r="W13" s="15"/>
    </row>
    <row r="14" spans="1:23" x14ac:dyDescent="0.25">
      <c r="A14" s="537"/>
      <c r="B14" s="547"/>
      <c r="C14" s="542" t="s">
        <v>70</v>
      </c>
      <c r="D14" s="542"/>
      <c r="E14" s="542"/>
      <c r="F14" s="542"/>
      <c r="G14" s="542"/>
      <c r="H14" s="164"/>
      <c r="I14" s="164"/>
      <c r="J14" s="104" t="str">
        <f t="shared" si="0"/>
        <v/>
      </c>
      <c r="K14" s="105">
        <f>IF($B$3&lt;&gt;"",IF($B$3=0,0,IF($B3="","",IF('4. Purchased Energy Rates'!$B$4="Section 11 ECB",IF($B$3=1,0.04,IF($B$3=2,0.05,IF($B$3=3,0.05,0.05))),I14))))</f>
        <v>0.05</v>
      </c>
      <c r="L14" s="106" t="s">
        <v>323</v>
      </c>
      <c r="N14" s="15"/>
      <c r="O14" s="15"/>
      <c r="P14" s="15"/>
      <c r="Q14" s="15"/>
      <c r="R14" s="15"/>
      <c r="S14" s="15"/>
      <c r="T14" s="15"/>
      <c r="U14" s="15"/>
      <c r="V14" s="15"/>
      <c r="W14" s="15"/>
    </row>
    <row r="15" spans="1:23" ht="26.25" customHeight="1" x14ac:dyDescent="0.25">
      <c r="A15" s="537"/>
      <c r="B15" s="553" t="s">
        <v>322</v>
      </c>
      <c r="C15" s="542" t="s">
        <v>320</v>
      </c>
      <c r="D15" s="542"/>
      <c r="E15" s="542"/>
      <c r="F15" s="542"/>
      <c r="G15" s="542"/>
      <c r="H15" s="164"/>
      <c r="I15" s="164"/>
      <c r="J15" s="104" t="str">
        <f t="shared" si="0"/>
        <v/>
      </c>
      <c r="K15" s="105">
        <f>IF($B$3&lt;&gt;"",IF($B$3=0,0,IF($B3="","",IF('4. Purchased Energy Rates'!$B$4="Section 11 ECB",IF($B$3=1,20,IF($B$3=2,20,IF($B$3=3,30,30))),30))))</f>
        <v>30</v>
      </c>
      <c r="L15" s="106" t="s">
        <v>324</v>
      </c>
      <c r="N15" s="15"/>
      <c r="O15" s="15"/>
      <c r="P15" s="15"/>
      <c r="Q15" s="15"/>
      <c r="R15" s="15"/>
      <c r="S15" s="15"/>
      <c r="T15" s="15"/>
      <c r="U15" s="15"/>
      <c r="V15" s="15"/>
      <c r="W15" s="15"/>
    </row>
    <row r="16" spans="1:23" ht="26.25" customHeight="1" x14ac:dyDescent="0.25">
      <c r="A16" s="537"/>
      <c r="B16" s="546"/>
      <c r="C16" s="542" t="s">
        <v>321</v>
      </c>
      <c r="D16" s="542"/>
      <c r="E16" s="542"/>
      <c r="F16" s="542"/>
      <c r="G16" s="542"/>
      <c r="H16" s="164"/>
      <c r="I16" s="164"/>
      <c r="J16" s="104" t="str">
        <f t="shared" si="0"/>
        <v/>
      </c>
      <c r="K16" s="105">
        <f>IF($B$3&lt;&gt;"",IF($B$3=0,0,IF($B3="","",IF('4. Purchased Energy Rates'!$B$4="Section 11 ECB",IF($B$3=1,20,IF($B$3=2,20,IF($B$3=3,20,20))),20))))</f>
        <v>20</v>
      </c>
      <c r="L16" s="106" t="s">
        <v>324</v>
      </c>
      <c r="N16" s="15"/>
      <c r="O16" s="15"/>
      <c r="P16" s="15"/>
      <c r="Q16" s="15"/>
      <c r="R16" s="15"/>
      <c r="S16" s="15"/>
      <c r="T16" s="15"/>
      <c r="U16" s="15"/>
      <c r="V16" s="15"/>
      <c r="W16" s="15"/>
    </row>
    <row r="17" spans="1:23" ht="24" customHeight="1" x14ac:dyDescent="0.25">
      <c r="A17" s="537"/>
      <c r="B17" s="546"/>
      <c r="C17" s="542" t="s">
        <v>74</v>
      </c>
      <c r="D17" s="542"/>
      <c r="E17" s="542"/>
      <c r="F17" s="542"/>
      <c r="G17" s="542"/>
      <c r="H17" s="164"/>
      <c r="I17" s="164"/>
      <c r="J17" s="104" t="str">
        <f t="shared" si="0"/>
        <v/>
      </c>
      <c r="K17" s="105">
        <f>IF($B$3&lt;&gt;"",IF($B$3=0,0,IF($B3="","",IF('4. Purchased Energy Rates'!$B$4="Section 11 ECB",IF($B$3=1,0.25,IF($B$3=2,0.25,IF($B$3=3,0.4,0.4))),1.25))))</f>
        <v>0.4</v>
      </c>
      <c r="L17" s="106" t="s">
        <v>323</v>
      </c>
      <c r="N17" s="15"/>
      <c r="O17" s="15"/>
      <c r="P17" s="15"/>
      <c r="Q17" s="15"/>
      <c r="R17" s="15"/>
      <c r="S17" s="15"/>
      <c r="T17" s="15"/>
      <c r="U17" s="15"/>
      <c r="V17" s="15"/>
      <c r="W17" s="15"/>
    </row>
    <row r="18" spans="1:23" ht="24" customHeight="1" x14ac:dyDescent="0.25">
      <c r="A18" s="537"/>
      <c r="B18" s="547"/>
      <c r="C18" s="538" t="s">
        <v>549</v>
      </c>
      <c r="D18" s="539"/>
      <c r="E18" s="539"/>
      <c r="F18" s="539"/>
      <c r="G18" s="540"/>
      <c r="H18" s="164"/>
      <c r="I18" s="164"/>
      <c r="J18" s="104"/>
      <c r="K18" s="105">
        <f>IF($B$3&lt;&gt;"",IF($B$3=0,0,IF($B3="","",IF('4. Purchased Energy Rates'!$B$4="Section 11 ECB",IF($B$3=1,0.5,IF($B$3=2,0.5,IF($B$3=3,0.5,0.5))),I18))))</f>
        <v>0.5</v>
      </c>
      <c r="L18" s="106" t="s">
        <v>323</v>
      </c>
      <c r="N18" s="15"/>
      <c r="O18" s="15"/>
      <c r="P18" s="15"/>
      <c r="Q18" s="15"/>
      <c r="R18" s="15"/>
      <c r="S18" s="15"/>
      <c r="T18" s="15"/>
      <c r="U18" s="15"/>
      <c r="V18" s="15"/>
      <c r="W18" s="15"/>
    </row>
    <row r="19" spans="1:23" ht="24.75" customHeight="1" x14ac:dyDescent="0.25">
      <c r="A19" s="537"/>
      <c r="B19" s="36" t="s">
        <v>75</v>
      </c>
      <c r="C19" s="542" t="s">
        <v>76</v>
      </c>
      <c r="D19" s="542"/>
      <c r="E19" s="542"/>
      <c r="F19" s="542"/>
      <c r="G19" s="542"/>
      <c r="H19" s="164"/>
      <c r="I19" s="164"/>
      <c r="J19" s="104" t="str">
        <f t="shared" si="0"/>
        <v/>
      </c>
      <c r="K19" s="105">
        <f>IF($B$3&lt;&gt;"",IF($B$3=0,0,IF($B3="","",IF('4. Purchased Energy Rates'!$B$4="Section 11 ECB",IF($B$3=1,0.6,IF($B$3=2,0.6,IF($B$3=3,0.8,1))),1.25))))</f>
        <v>0.8</v>
      </c>
      <c r="L19" s="106" t="s">
        <v>323</v>
      </c>
      <c r="N19" s="15"/>
      <c r="O19" s="15"/>
      <c r="P19" s="15"/>
      <c r="Q19" s="15"/>
      <c r="R19" s="15"/>
      <c r="S19" s="15"/>
      <c r="T19" s="15"/>
      <c r="U19" s="15"/>
      <c r="V19" s="15"/>
      <c r="W19" s="15"/>
    </row>
    <row r="20" spans="1:23" ht="26.25" customHeight="1" x14ac:dyDescent="0.25">
      <c r="A20" s="537"/>
      <c r="B20" s="554" t="s">
        <v>77</v>
      </c>
      <c r="C20" s="542" t="s">
        <v>78</v>
      </c>
      <c r="D20" s="542"/>
      <c r="E20" s="542"/>
      <c r="F20" s="542"/>
      <c r="G20" s="542"/>
      <c r="H20" s="164"/>
      <c r="I20" s="164"/>
      <c r="J20" s="104" t="str">
        <f t="shared" si="0"/>
        <v/>
      </c>
      <c r="K20" s="105">
        <f>IF($B$3&lt;&gt;"",IF($B$3=0,0,IF($B3="","",IF('4. Purchased Energy Rates'!$B$4="Section 11 ECB",IF($B$3=1,0.25,IF($B$3=2,0.25,IF($B$3=3,0.5,0.7))),0.5))))</f>
        <v>0.5</v>
      </c>
      <c r="L20" s="106" t="s">
        <v>323</v>
      </c>
      <c r="N20" s="15"/>
      <c r="O20" s="15"/>
      <c r="P20" s="15"/>
      <c r="Q20" s="15"/>
      <c r="R20" s="15"/>
      <c r="S20" s="15"/>
      <c r="T20" s="15"/>
      <c r="U20" s="15"/>
      <c r="V20" s="15"/>
      <c r="W20" s="15"/>
    </row>
    <row r="21" spans="1:23" ht="35.25" customHeight="1" thickBot="1" x14ac:dyDescent="0.3">
      <c r="A21" s="537"/>
      <c r="B21" s="555"/>
      <c r="C21" s="543" t="s">
        <v>80</v>
      </c>
      <c r="D21" s="543"/>
      <c r="E21" s="543"/>
      <c r="F21" s="543"/>
      <c r="G21" s="543"/>
      <c r="H21" s="165"/>
      <c r="I21" s="164"/>
      <c r="J21" s="104" t="str">
        <f t="shared" si="0"/>
        <v/>
      </c>
      <c r="K21" s="105">
        <f>IF($B$3&lt;&gt;"",IF($B$3=0,0,IF($B3="","",IF('4. Purchased Energy Rates'!$B$4="Section 11 ECB",IF($B$3=1,0,IF($B$3=2,10,IF($B$3=3,10,30))),20))))</f>
        <v>10</v>
      </c>
      <c r="L21" s="106" t="s">
        <v>324</v>
      </c>
      <c r="N21" s="15"/>
      <c r="O21" s="15"/>
      <c r="P21" s="15"/>
      <c r="Q21" s="15"/>
      <c r="R21" s="15"/>
      <c r="S21" s="15"/>
      <c r="T21" s="15"/>
      <c r="U21" s="15"/>
      <c r="V21" s="15"/>
      <c r="W21" s="15"/>
    </row>
    <row r="22" spans="1:23" ht="33.75" customHeight="1" thickTop="1" x14ac:dyDescent="0.25">
      <c r="A22" s="544" t="s">
        <v>81</v>
      </c>
      <c r="B22" s="545" t="s">
        <v>82</v>
      </c>
      <c r="C22" s="548" t="s">
        <v>419</v>
      </c>
      <c r="D22" s="549"/>
      <c r="E22" s="167"/>
      <c r="F22" s="550" t="s">
        <v>415</v>
      </c>
      <c r="G22" s="551"/>
      <c r="H22" s="166"/>
      <c r="I22" s="167"/>
      <c r="J22" s="107" t="str">
        <f>IF(I22="","",IF(Q22&gt;R22,Q22,R22))</f>
        <v/>
      </c>
      <c r="K22" s="105">
        <f>IF($B$3&lt;&gt;"",IF($B$3=0,0,IF($B$3=1,0,IF($B$3=2,IF(Q22&gt;R22,O22,P22),IF($B$3=3,IF(Q22&gt;R22,O22,P22),IF(Q22&gt;R22,O22,P22))))),"")</f>
        <v>3.75</v>
      </c>
      <c r="L22" s="106" t="str">
        <f>IF($B$3&lt;&gt;"",IF($B$3=0,0,IF($B$3=1,0,IF($B$3=2,IF(Q22&gt;R22,"W/SF","W/FT"),IF($B$3=3,IF(Q22&gt;R22,"W/SF","W/FT"),IF(Q22&gt;R22,"W/SF","W/FT"))))),"")</f>
        <v>W/FT</v>
      </c>
      <c r="N22" s="15">
        <v>5</v>
      </c>
      <c r="O22" s="18">
        <f>IF($B$3&lt;&gt;"",IF($B$3=0,0,IF($B$3="","",IF('4. Purchased Energy Rates'!$B$4="Section 11 ECB",IF($B$3=1,0,IF($B$3=2,0.1,IF($B$3=3,0.15,0.2))),0.2))))</f>
        <v>0.15</v>
      </c>
      <c r="P22" s="18">
        <f>IF($B$3&lt;&gt;"",IF($B$3=0,0,IF($B$3="","",IF('4. Purchased Energy Rates'!$B$4="Section 11 ECB",IF($B$3=1,0,IF($B$3=2,2.5,IF($B$3=3,3.75,5))),5))))</f>
        <v>3.75</v>
      </c>
      <c r="Q22" s="15">
        <f>O22*E22</f>
        <v>0</v>
      </c>
      <c r="R22" s="15">
        <f>H22*P22</f>
        <v>0</v>
      </c>
      <c r="S22" s="15"/>
      <c r="T22" s="15"/>
      <c r="U22" s="15"/>
      <c r="V22" s="15"/>
      <c r="W22" s="15"/>
    </row>
    <row r="23" spans="1:23" ht="29.25" customHeight="1" x14ac:dyDescent="0.25">
      <c r="A23" s="544"/>
      <c r="B23" s="546"/>
      <c r="C23" s="548" t="s">
        <v>420</v>
      </c>
      <c r="D23" s="549"/>
      <c r="E23" s="167"/>
      <c r="F23" s="538" t="s">
        <v>416</v>
      </c>
      <c r="G23" s="540"/>
      <c r="H23" s="166"/>
      <c r="I23" s="167"/>
      <c r="J23" s="107" t="str">
        <f>IF(I23="","",IF(Q23&gt;R23,Q23,R23))</f>
        <v/>
      </c>
      <c r="K23" s="105">
        <f t="shared" ref="K23:K25" si="1">IF($B$3&lt;&gt;"",IF($B$3=0,0,IF($B$3=1,0,IF($B$3=2,IF(Q23&gt;R23,O23,P23),IF($B$3=3,IF(Q23&gt;R23,O23,P23),IF(Q23&gt;R23,O23,P23))))),"")</f>
        <v>3.75</v>
      </c>
      <c r="L23" s="106" t="str">
        <f t="shared" ref="L23:L28" si="2">IF($B$3&lt;&gt;"",IF($B$3=0,0,IF($B$3=1,0,IF($B$3=2,IF(Q23&gt;R23,"W/SF","W/FT"),IF($B$3=3,IF(Q23&gt;R23,"W/SF","W/FT"),IF(Q23&gt;R23,"W/SF","W/FT"))))),"")</f>
        <v>W/FT</v>
      </c>
      <c r="N23" s="15"/>
      <c r="O23" s="18">
        <f>IF($B$3&lt;&gt;"",IF($B$3=0,0,IF($B$3="","",IF('4. Purchased Energy Rates'!$B$4="Section 11 ECB",IF($B$3=1,0,IF($B$3=2,0.1,IF($B$3=3,0.15,0.2))),0.2))))</f>
        <v>0.15</v>
      </c>
      <c r="P23" s="18">
        <f>IF($B$3&lt;&gt;"",IF($B$3=0,0,IF($B$3="","",IF('4. Purchased Energy Rates'!$B$4="Section 11 ECB",IF($B$3=1,0,IF($B$3=2,2.5,IF($B$3=3,3.75,5))),5))))</f>
        <v>3.75</v>
      </c>
      <c r="Q23" s="15">
        <f>O23*E23</f>
        <v>0</v>
      </c>
      <c r="R23" s="15">
        <f>H23*P23</f>
        <v>0</v>
      </c>
      <c r="S23" s="15"/>
      <c r="T23" s="15"/>
      <c r="U23" s="15"/>
      <c r="V23" s="15"/>
      <c r="W23" s="15"/>
    </row>
    <row r="24" spans="1:23" ht="30" customHeight="1" x14ac:dyDescent="0.25">
      <c r="A24" s="544"/>
      <c r="B24" s="546"/>
      <c r="C24" s="548" t="s">
        <v>421</v>
      </c>
      <c r="D24" s="549"/>
      <c r="E24" s="167"/>
      <c r="F24" s="538" t="s">
        <v>417</v>
      </c>
      <c r="G24" s="540"/>
      <c r="H24" s="166"/>
      <c r="I24" s="167"/>
      <c r="J24" s="107" t="str">
        <f>IF(I24="","",IF(Q24&gt;R24,Q24,R24))</f>
        <v/>
      </c>
      <c r="K24" s="105">
        <f t="shared" si="1"/>
        <v>3.75</v>
      </c>
      <c r="L24" s="106" t="str">
        <f t="shared" si="2"/>
        <v>W/FT</v>
      </c>
      <c r="N24" s="15"/>
      <c r="O24" s="18">
        <f>IF($B$3&lt;&gt;"",IF($B$3=0,0,IF($B$3="","",IF('4. Purchased Energy Rates'!$B$4="Section 11 ECB",IF($B$3=1,0,IF($B$3=2,0.1,IF($B$3=3,0.15,0.2))),0.2))))</f>
        <v>0.15</v>
      </c>
      <c r="P24" s="18">
        <f>IF($B$3&lt;&gt;"",IF($B$3=0,0,IF($B$3="","",IF('4. Purchased Energy Rates'!$B$4="Section 11 ECB",IF($B$3=1,0,IF($B$3=2,2.5,IF($B$3=3,3.75,5))),5))))</f>
        <v>3.75</v>
      </c>
      <c r="Q24" s="15">
        <f>O24*E24</f>
        <v>0</v>
      </c>
      <c r="R24" s="15">
        <f>H24*P24</f>
        <v>0</v>
      </c>
      <c r="S24" s="15"/>
      <c r="T24" s="15"/>
      <c r="U24" s="15"/>
      <c r="V24" s="15"/>
      <c r="W24" s="15"/>
    </row>
    <row r="25" spans="1:23" ht="28.5" customHeight="1" x14ac:dyDescent="0.25">
      <c r="A25" s="544"/>
      <c r="B25" s="547"/>
      <c r="C25" s="548" t="s">
        <v>422</v>
      </c>
      <c r="D25" s="549"/>
      <c r="E25" s="167"/>
      <c r="F25" s="538" t="s">
        <v>418</v>
      </c>
      <c r="G25" s="540"/>
      <c r="H25" s="166"/>
      <c r="I25" s="167"/>
      <c r="J25" s="107" t="str">
        <f>IF(I25="","",IF(Q25&gt;R25,Q25,R25))</f>
        <v/>
      </c>
      <c r="K25" s="105">
        <f t="shared" si="1"/>
        <v>3.75</v>
      </c>
      <c r="L25" s="106" t="str">
        <f t="shared" si="2"/>
        <v>W/FT</v>
      </c>
      <c r="N25" s="15"/>
      <c r="O25" s="18">
        <f>IF($B$3&lt;&gt;"",IF($B$3=0,0,IF($B$3="","",IF('4. Purchased Energy Rates'!$B$4="Section 11 ECB",IF($B$3=1,0,IF($B$3=2,0.1,IF($B$3=3,0.15,0.2))),0.2))))</f>
        <v>0.15</v>
      </c>
      <c r="P25" s="18">
        <f>IF($B$3&lt;&gt;"",IF($B$3=0,0,IF($B$3="","",IF('4. Purchased Energy Rates'!$B$4="Section 11 ECB",IF($B$3=1,0,IF($B$3=2,2.5,IF($B$3=3,3.75,5))),5))))</f>
        <v>3.75</v>
      </c>
      <c r="Q25" s="15">
        <f>O25*E25</f>
        <v>0</v>
      </c>
      <c r="R25" s="15">
        <f>H25*P25</f>
        <v>0</v>
      </c>
      <c r="S25" s="15"/>
      <c r="T25" s="15"/>
      <c r="U25" s="15"/>
      <c r="V25" s="15"/>
      <c r="W25" s="15"/>
    </row>
    <row r="26" spans="1:23" ht="34.15" customHeight="1" x14ac:dyDescent="0.25">
      <c r="A26" s="544"/>
      <c r="B26" s="36" t="s">
        <v>328</v>
      </c>
      <c r="C26" s="169"/>
      <c r="D26" s="37" t="s">
        <v>423</v>
      </c>
      <c r="E26" s="168"/>
      <c r="F26" s="38"/>
      <c r="G26" s="39" t="s">
        <v>83</v>
      </c>
      <c r="H26" s="168"/>
      <c r="I26" s="168"/>
      <c r="J26" s="108" t="str">
        <f>IF(I26="","",IF($B$3&lt;&gt;"",IF($B$3=0,0,270*C26+90*(E26-C26)),""))</f>
        <v/>
      </c>
      <c r="K26" s="556" t="str">
        <f>IF($B$3&lt;&gt;"",IF($B$3=0,"No allowance","Allowance = 270W per location plus 90W per additional ATM per location."),"")</f>
        <v>Allowance = 270W per location plus 90W per additional ATM per location.</v>
      </c>
      <c r="L26" s="557"/>
      <c r="N26" s="15"/>
      <c r="O26" s="15"/>
      <c r="P26" s="15"/>
      <c r="Q26" s="15"/>
      <c r="R26" s="15"/>
      <c r="S26" s="15"/>
      <c r="T26" s="15"/>
      <c r="U26" s="15"/>
      <c r="V26" s="15"/>
      <c r="W26" s="15"/>
    </row>
    <row r="27" spans="1:23" ht="23.25" x14ac:dyDescent="0.25">
      <c r="A27" s="544"/>
      <c r="B27" s="36" t="s">
        <v>329</v>
      </c>
      <c r="C27" s="542" t="s">
        <v>84</v>
      </c>
      <c r="D27" s="542"/>
      <c r="E27" s="542"/>
      <c r="F27" s="542"/>
      <c r="G27" s="542"/>
      <c r="H27" s="164"/>
      <c r="I27" s="164"/>
      <c r="J27" s="104" t="str">
        <f>IF(H27&lt;&gt;"",H27*K27,"")</f>
        <v/>
      </c>
      <c r="K27" s="109">
        <f>IF($B$3&lt;&gt;"",IF($B$3=0,0,IF($B3="","",IF('4. Purchased Energy Rates'!$B$4="Section 11 ECB",IF($B$3=1,0.75,IF($B$3=2,0.75,IF($B$3=3,0.75,0.75))),1.25))))</f>
        <v>0.75</v>
      </c>
      <c r="L27" s="106" t="str">
        <f t="shared" si="2"/>
        <v>W/FT</v>
      </c>
      <c r="N27" s="15"/>
      <c r="O27" s="15"/>
      <c r="P27" s="15"/>
      <c r="Q27" s="15"/>
      <c r="R27" s="15"/>
      <c r="S27" s="15"/>
      <c r="T27" s="15"/>
      <c r="U27" s="15"/>
      <c r="V27" s="15"/>
      <c r="W27" s="15"/>
    </row>
    <row r="28" spans="1:23" ht="23.25" x14ac:dyDescent="0.25">
      <c r="A28" s="544"/>
      <c r="B28" s="36" t="s">
        <v>330</v>
      </c>
      <c r="C28" s="542" t="s">
        <v>85</v>
      </c>
      <c r="D28" s="542"/>
      <c r="E28" s="542"/>
      <c r="F28" s="542"/>
      <c r="G28" s="542"/>
      <c r="H28" s="164"/>
      <c r="I28" s="164"/>
      <c r="J28" s="104" t="str">
        <f>IF(H28&lt;&gt;"",H28*K28,"")</f>
        <v/>
      </c>
      <c r="K28" s="109">
        <f>IF($B$3&lt;&gt;"",IF($B$3=0,0,IF($B3="","",IF('4. Purchased Energy Rates'!$B$4="Section 11 ECB",IF($B$3=1,0.5,IF($B$3=2,0.5,IF($B$3=3,0.5,0.5))),0.5))))</f>
        <v>0.5</v>
      </c>
      <c r="L28" s="106" t="str">
        <f t="shared" si="2"/>
        <v>W/FT</v>
      </c>
      <c r="N28" s="15"/>
      <c r="O28" s="15"/>
      <c r="P28" s="15"/>
      <c r="Q28" s="15"/>
      <c r="R28" s="15"/>
      <c r="S28" s="15"/>
      <c r="T28" s="15"/>
      <c r="U28" s="15"/>
      <c r="V28" s="15"/>
      <c r="W28" s="15"/>
    </row>
    <row r="29" spans="1:23" x14ac:dyDescent="0.25">
      <c r="A29" s="544"/>
      <c r="B29" s="36" t="s">
        <v>59</v>
      </c>
      <c r="C29" s="538" t="s">
        <v>86</v>
      </c>
      <c r="D29" s="539"/>
      <c r="E29" s="539"/>
      <c r="F29" s="539"/>
      <c r="G29" s="540"/>
      <c r="H29" s="164"/>
      <c r="I29" s="164"/>
      <c r="J29" s="104" t="str">
        <f>IF(H29&lt;&gt;"",H29*K29,"")</f>
        <v/>
      </c>
      <c r="K29" s="110">
        <f>IF($B$3&lt;&gt;"",IF($B$3=0,0,IF($B$3=1,400,IF($B$3=2,400,IF($B$3=3,400,400)))),"")</f>
        <v>400</v>
      </c>
      <c r="L29" s="106" t="s">
        <v>325</v>
      </c>
      <c r="N29" s="15"/>
      <c r="O29" s="15"/>
      <c r="P29" s="15"/>
      <c r="Q29" s="15"/>
      <c r="R29" s="15"/>
      <c r="S29" s="15"/>
      <c r="T29" s="15"/>
      <c r="U29" s="15"/>
      <c r="V29" s="15"/>
      <c r="W29" s="15"/>
    </row>
    <row r="30" spans="1:23" ht="45.75" x14ac:dyDescent="0.25">
      <c r="A30" s="544"/>
      <c r="B30" s="36" t="s">
        <v>87</v>
      </c>
      <c r="C30" s="538" t="s">
        <v>88</v>
      </c>
      <c r="D30" s="539"/>
      <c r="E30" s="539"/>
      <c r="F30" s="539"/>
      <c r="G30" s="540"/>
      <c r="H30" s="164"/>
      <c r="I30" s="164"/>
      <c r="J30" s="104" t="str">
        <f>IF(H30&lt;&gt;"",H30*K30,"")</f>
        <v/>
      </c>
      <c r="K30" s="110">
        <f>IF($B$3&lt;&gt;"",IF($B$3=0,0,IF($B$3=1,800,IF($B$3=2,800,IF($B$3=3,800,800)))),"")</f>
        <v>800</v>
      </c>
      <c r="L30" s="106" t="s">
        <v>326</v>
      </c>
      <c r="N30" s="15"/>
      <c r="O30" s="15"/>
      <c r="P30" s="15"/>
      <c r="Q30" s="15"/>
      <c r="R30" s="15"/>
      <c r="S30" s="15"/>
      <c r="T30" s="15"/>
      <c r="U30" s="15"/>
      <c r="V30" s="15"/>
      <c r="W30" s="15"/>
    </row>
    <row r="31" spans="1:23" x14ac:dyDescent="0.25">
      <c r="A31" s="33"/>
      <c r="B31" s="33"/>
      <c r="C31" s="33"/>
      <c r="D31" s="33"/>
      <c r="E31" s="34"/>
      <c r="F31" s="33"/>
      <c r="G31" s="33"/>
      <c r="H31" s="33"/>
      <c r="I31" s="33"/>
      <c r="J31" s="33"/>
      <c r="K31" s="1"/>
      <c r="L31" s="1"/>
      <c r="N31" s="15"/>
      <c r="O31" s="15"/>
      <c r="P31" s="15"/>
      <c r="Q31" s="15"/>
      <c r="R31" s="15"/>
      <c r="S31" s="15"/>
      <c r="T31" s="15"/>
      <c r="U31" s="15"/>
      <c r="V31" s="15"/>
      <c r="W31" s="15"/>
    </row>
    <row r="32" spans="1:23" x14ac:dyDescent="0.25">
      <c r="A32" s="33"/>
      <c r="B32" s="33"/>
      <c r="C32" s="33"/>
      <c r="D32" s="33"/>
      <c r="E32" s="34"/>
      <c r="F32" s="33"/>
      <c r="G32" s="33"/>
      <c r="H32" s="33"/>
      <c r="I32" s="33"/>
      <c r="J32" s="33"/>
      <c r="K32" s="1"/>
      <c r="L32" s="1"/>
    </row>
    <row r="33" spans="1:12" x14ac:dyDescent="0.25">
      <c r="A33" s="33"/>
      <c r="B33" s="33"/>
      <c r="C33" s="33"/>
      <c r="D33" s="33"/>
      <c r="E33" s="34"/>
      <c r="F33" s="33"/>
      <c r="G33" s="33"/>
      <c r="H33" s="33"/>
      <c r="I33" s="33"/>
      <c r="J33" s="33"/>
      <c r="K33" s="1"/>
      <c r="L33" s="1"/>
    </row>
    <row r="34" spans="1:12" x14ac:dyDescent="0.25">
      <c r="A34" s="33"/>
      <c r="B34" s="33"/>
      <c r="C34" s="33"/>
      <c r="D34" s="33"/>
      <c r="E34" s="34"/>
      <c r="F34" s="33"/>
      <c r="G34" s="33"/>
      <c r="H34" s="33"/>
      <c r="I34" s="33"/>
      <c r="J34" s="33"/>
      <c r="K34" s="1"/>
      <c r="L34" s="1"/>
    </row>
    <row r="35" spans="1:12" x14ac:dyDescent="0.25">
      <c r="A35" s="33"/>
      <c r="B35" s="33"/>
      <c r="C35" s="33"/>
      <c r="D35" s="33"/>
      <c r="E35" s="34"/>
      <c r="F35" s="33"/>
      <c r="G35" s="33"/>
      <c r="H35" s="33"/>
      <c r="I35" s="33"/>
      <c r="J35" s="33"/>
      <c r="K35" s="1"/>
      <c r="L35" s="1"/>
    </row>
    <row r="36" spans="1:12" x14ac:dyDescent="0.25">
      <c r="A36" s="33"/>
      <c r="B36" s="33"/>
      <c r="C36" s="33"/>
      <c r="D36" s="33"/>
      <c r="E36" s="34"/>
      <c r="F36" s="33"/>
      <c r="G36" s="33"/>
      <c r="H36" s="33"/>
      <c r="I36" s="33"/>
      <c r="J36" s="33"/>
      <c r="K36" s="1"/>
      <c r="L36" s="1"/>
    </row>
    <row r="37" spans="1:12" x14ac:dyDescent="0.25">
      <c r="A37" s="33"/>
      <c r="B37" s="33"/>
      <c r="C37" s="33"/>
      <c r="D37" s="33"/>
      <c r="E37" s="34"/>
      <c r="F37" s="33"/>
      <c r="G37" s="33"/>
      <c r="H37" s="33"/>
      <c r="I37" s="33"/>
      <c r="J37" s="33"/>
      <c r="K37" s="1"/>
      <c r="L37" s="1"/>
    </row>
    <row r="38" spans="1:12" x14ac:dyDescent="0.25">
      <c r="A38" s="33"/>
      <c r="B38" s="33"/>
      <c r="C38" s="33"/>
      <c r="D38" s="33"/>
      <c r="E38" s="34"/>
      <c r="F38" s="33"/>
      <c r="G38" s="33"/>
      <c r="H38" s="33"/>
      <c r="I38" s="33"/>
      <c r="J38" s="33"/>
      <c r="K38" s="1"/>
      <c r="L38" s="1"/>
    </row>
    <row r="39" spans="1:12" x14ac:dyDescent="0.25">
      <c r="A39" s="33"/>
      <c r="B39" s="33"/>
      <c r="C39" s="33"/>
      <c r="D39" s="33"/>
      <c r="E39" s="34"/>
      <c r="F39" s="33"/>
      <c r="G39" s="33"/>
      <c r="H39" s="33"/>
      <c r="I39" s="33"/>
      <c r="J39" s="33"/>
      <c r="K39" s="1"/>
      <c r="L39" s="1"/>
    </row>
    <row r="40" spans="1:12" x14ac:dyDescent="0.25">
      <c r="A40" s="33"/>
      <c r="B40" s="33"/>
      <c r="C40" s="33"/>
      <c r="D40" s="33"/>
      <c r="E40" s="34"/>
      <c r="F40" s="33"/>
      <c r="G40" s="33"/>
      <c r="H40" s="33"/>
      <c r="I40" s="33"/>
      <c r="J40" s="33"/>
      <c r="K40" s="1"/>
      <c r="L40" s="1"/>
    </row>
    <row r="41" spans="1:12" x14ac:dyDescent="0.25">
      <c r="A41" s="33"/>
      <c r="B41" s="33"/>
      <c r="C41" s="33"/>
      <c r="D41" s="33"/>
      <c r="E41" s="34"/>
      <c r="F41" s="33"/>
      <c r="G41" s="33"/>
      <c r="H41" s="33"/>
      <c r="I41" s="33"/>
      <c r="J41" s="33"/>
      <c r="K41" s="1"/>
      <c r="L41" s="1"/>
    </row>
    <row r="42" spans="1:12" x14ac:dyDescent="0.25">
      <c r="A42" s="33"/>
      <c r="B42" s="33"/>
      <c r="C42" s="33"/>
      <c r="D42" s="33"/>
      <c r="E42" s="34"/>
      <c r="F42" s="33"/>
      <c r="G42" s="33"/>
      <c r="H42" s="33"/>
      <c r="I42" s="33"/>
      <c r="J42" s="33"/>
      <c r="K42" s="1"/>
      <c r="L42" s="1"/>
    </row>
    <row r="43" spans="1:12" x14ac:dyDescent="0.25">
      <c r="A43" s="33"/>
      <c r="B43" s="33"/>
      <c r="C43" s="33"/>
      <c r="D43" s="33"/>
      <c r="E43" s="34"/>
      <c r="F43" s="33"/>
      <c r="G43" s="33"/>
      <c r="H43" s="33"/>
      <c r="I43" s="33"/>
      <c r="J43" s="33"/>
      <c r="K43" s="1"/>
      <c r="L43" s="1"/>
    </row>
    <row r="44" spans="1:12" x14ac:dyDescent="0.25">
      <c r="A44" s="33"/>
      <c r="B44" s="33"/>
      <c r="C44" s="33"/>
      <c r="D44" s="33"/>
      <c r="E44" s="34"/>
      <c r="F44" s="33"/>
      <c r="G44" s="33"/>
      <c r="H44" s="33"/>
      <c r="I44" s="33"/>
      <c r="J44" s="33"/>
      <c r="K44" s="1"/>
      <c r="L44" s="1"/>
    </row>
    <row r="45" spans="1:12" x14ac:dyDescent="0.25">
      <c r="A45" s="33"/>
      <c r="B45" s="33"/>
      <c r="C45" s="33"/>
      <c r="D45" s="33"/>
      <c r="E45" s="34"/>
      <c r="F45" s="33"/>
      <c r="G45" s="33"/>
      <c r="H45" s="33"/>
      <c r="I45" s="33"/>
      <c r="J45" s="33"/>
      <c r="K45" s="1"/>
      <c r="L45" s="1"/>
    </row>
    <row r="46" spans="1:12" x14ac:dyDescent="0.25">
      <c r="A46" s="33"/>
      <c r="B46" s="33"/>
      <c r="C46" s="33"/>
      <c r="D46" s="33"/>
      <c r="E46" s="34"/>
      <c r="F46" s="33"/>
      <c r="G46" s="33"/>
      <c r="H46" s="33"/>
      <c r="I46" s="33"/>
      <c r="J46" s="33"/>
      <c r="K46" s="1"/>
      <c r="L46" s="1"/>
    </row>
    <row r="47" spans="1:12" x14ac:dyDescent="0.25">
      <c r="A47" s="33"/>
      <c r="B47" s="33"/>
      <c r="C47" s="33"/>
      <c r="D47" s="33"/>
      <c r="E47" s="34"/>
      <c r="F47" s="33"/>
      <c r="G47" s="33"/>
      <c r="H47" s="33"/>
      <c r="I47" s="33"/>
      <c r="J47" s="33"/>
      <c r="K47" s="1"/>
      <c r="L47" s="1"/>
    </row>
    <row r="48" spans="1:12" x14ac:dyDescent="0.25">
      <c r="A48" s="33"/>
      <c r="B48" s="33"/>
      <c r="C48" s="33"/>
      <c r="D48" s="33"/>
      <c r="E48" s="34"/>
      <c r="F48" s="33"/>
      <c r="G48" s="33"/>
      <c r="H48" s="33"/>
      <c r="I48" s="33"/>
      <c r="J48" s="33"/>
      <c r="K48" s="1"/>
      <c r="L48" s="1"/>
    </row>
    <row r="49" spans="1:12" x14ac:dyDescent="0.25">
      <c r="A49" s="33"/>
      <c r="B49" s="33"/>
      <c r="C49" s="33"/>
      <c r="D49" s="33"/>
      <c r="E49" s="34"/>
      <c r="F49" s="33"/>
      <c r="G49" s="33"/>
      <c r="H49" s="33"/>
      <c r="I49" s="33"/>
      <c r="J49" s="33"/>
      <c r="K49" s="1"/>
      <c r="L49" s="1"/>
    </row>
    <row r="50" spans="1:12" x14ac:dyDescent="0.25">
      <c r="A50" s="33"/>
      <c r="B50" s="33"/>
      <c r="C50" s="33"/>
      <c r="D50" s="33"/>
      <c r="E50" s="34"/>
      <c r="F50" s="33"/>
      <c r="G50" s="33"/>
      <c r="H50" s="33"/>
      <c r="I50" s="33"/>
      <c r="J50" s="33"/>
      <c r="K50" s="1"/>
      <c r="L50" s="1"/>
    </row>
    <row r="51" spans="1:12" x14ac:dyDescent="0.25">
      <c r="A51" s="33"/>
      <c r="B51" s="33"/>
      <c r="C51" s="33"/>
      <c r="D51" s="33"/>
      <c r="E51" s="34"/>
      <c r="F51" s="33"/>
      <c r="G51" s="33"/>
      <c r="H51" s="33"/>
      <c r="I51" s="33"/>
      <c r="J51" s="33"/>
      <c r="K51" s="1"/>
      <c r="L51" s="1"/>
    </row>
    <row r="52" spans="1:12" x14ac:dyDescent="0.25">
      <c r="A52" s="33"/>
      <c r="B52" s="33"/>
      <c r="C52" s="33"/>
      <c r="D52" s="33"/>
      <c r="E52" s="34"/>
      <c r="F52" s="33"/>
      <c r="G52" s="33"/>
      <c r="H52" s="33"/>
      <c r="I52" s="33"/>
      <c r="J52" s="33"/>
      <c r="K52" s="1"/>
      <c r="L52" s="1"/>
    </row>
    <row r="53" spans="1:12" x14ac:dyDescent="0.25">
      <c r="A53" s="33"/>
      <c r="B53" s="33"/>
      <c r="C53" s="33"/>
      <c r="D53" s="33"/>
      <c r="E53" s="34"/>
      <c r="F53" s="33"/>
      <c r="G53" s="33"/>
      <c r="H53" s="33"/>
      <c r="I53" s="33"/>
      <c r="J53" s="33"/>
      <c r="K53" s="1"/>
      <c r="L53" s="1"/>
    </row>
    <row r="54" spans="1:12" x14ac:dyDescent="0.25">
      <c r="A54" s="33"/>
      <c r="B54" s="33"/>
      <c r="C54" s="33"/>
      <c r="D54" s="33"/>
      <c r="E54" s="34"/>
      <c r="F54" s="33"/>
      <c r="G54" s="33"/>
      <c r="H54" s="33"/>
      <c r="I54" s="33"/>
      <c r="J54" s="33"/>
      <c r="K54" s="1"/>
      <c r="L54" s="1"/>
    </row>
    <row r="55" spans="1:12" x14ac:dyDescent="0.25">
      <c r="A55" s="33"/>
      <c r="B55" s="33"/>
      <c r="C55" s="33"/>
      <c r="D55" s="33"/>
      <c r="E55" s="34"/>
      <c r="F55" s="33"/>
      <c r="G55" s="33"/>
      <c r="H55" s="33"/>
      <c r="I55" s="33"/>
      <c r="J55" s="33"/>
      <c r="K55" s="1"/>
      <c r="L55" s="1"/>
    </row>
    <row r="56" spans="1:12" x14ac:dyDescent="0.25">
      <c r="A56" s="33"/>
      <c r="B56" s="33"/>
      <c r="C56" s="33"/>
      <c r="D56" s="33"/>
      <c r="E56" s="34"/>
      <c r="F56" s="33"/>
      <c r="G56" s="33"/>
      <c r="H56" s="33"/>
      <c r="I56" s="33"/>
      <c r="J56" s="33"/>
      <c r="K56" s="1"/>
      <c r="L56" s="1"/>
    </row>
    <row r="57" spans="1:12" x14ac:dyDescent="0.25">
      <c r="A57" s="33"/>
      <c r="B57" s="33"/>
      <c r="C57" s="33"/>
      <c r="D57" s="33"/>
      <c r="E57" s="34"/>
      <c r="F57" s="33"/>
      <c r="G57" s="33"/>
      <c r="H57" s="33"/>
      <c r="I57" s="33"/>
      <c r="J57" s="33"/>
      <c r="K57" s="1"/>
      <c r="L57" s="1"/>
    </row>
    <row r="58" spans="1:12" x14ac:dyDescent="0.25">
      <c r="A58" s="33"/>
      <c r="B58" s="33"/>
      <c r="C58" s="33"/>
      <c r="D58" s="33"/>
      <c r="E58" s="34"/>
      <c r="F58" s="33"/>
      <c r="G58" s="33"/>
      <c r="H58" s="33"/>
      <c r="I58" s="33"/>
      <c r="J58" s="33"/>
      <c r="K58" s="1"/>
      <c r="L58" s="1"/>
    </row>
    <row r="59" spans="1:12" x14ac:dyDescent="0.25">
      <c r="A59" s="33"/>
      <c r="B59" s="33"/>
      <c r="C59" s="33"/>
      <c r="D59" s="33"/>
      <c r="E59" s="34"/>
      <c r="F59" s="33"/>
      <c r="G59" s="33"/>
      <c r="H59" s="33"/>
      <c r="I59" s="33"/>
      <c r="J59" s="33"/>
      <c r="K59" s="1"/>
      <c r="L59" s="1"/>
    </row>
  </sheetData>
  <sheetProtection password="C5B9" sheet="1" objects="1" scenarios="1"/>
  <mergeCells count="39">
    <mergeCell ref="B2:H2"/>
    <mergeCell ref="B8:B14"/>
    <mergeCell ref="B20:B21"/>
    <mergeCell ref="K26:L26"/>
    <mergeCell ref="C6:G6"/>
    <mergeCell ref="C11:G11"/>
    <mergeCell ref="C12:G12"/>
    <mergeCell ref="C18:G18"/>
    <mergeCell ref="B15:B18"/>
    <mergeCell ref="A22:A30"/>
    <mergeCell ref="B22:B25"/>
    <mergeCell ref="C22:D22"/>
    <mergeCell ref="F22:G22"/>
    <mergeCell ref="C23:D23"/>
    <mergeCell ref="F23:G23"/>
    <mergeCell ref="C27:G27"/>
    <mergeCell ref="C28:G28"/>
    <mergeCell ref="C29:G29"/>
    <mergeCell ref="C30:G30"/>
    <mergeCell ref="C24:D24"/>
    <mergeCell ref="F24:G24"/>
    <mergeCell ref="C25:D25"/>
    <mergeCell ref="F25:G25"/>
    <mergeCell ref="A7:A21"/>
    <mergeCell ref="C7:G7"/>
    <mergeCell ref="C8:G8"/>
    <mergeCell ref="C3:H3"/>
    <mergeCell ref="K6:L6"/>
    <mergeCell ref="C4:H4"/>
    <mergeCell ref="C20:G20"/>
    <mergeCell ref="C21:G21"/>
    <mergeCell ref="C13:G13"/>
    <mergeCell ref="C14:G14"/>
    <mergeCell ref="C15:G15"/>
    <mergeCell ref="C16:G16"/>
    <mergeCell ref="C17:G17"/>
    <mergeCell ref="C19:G19"/>
    <mergeCell ref="C9:G9"/>
    <mergeCell ref="C10:G10"/>
  </mergeCells>
  <dataValidations count="1">
    <dataValidation type="list" allowBlank="1" showInputMessage="1" showErrorMessage="1" sqref="B3">
      <formula1>LZ</formula1>
    </dataValidation>
  </dataValidations>
  <pageMargins left="0.7" right="0.7" top="0.75" bottom="0.75" header="0.3" footer="0.3"/>
  <pageSetup scale="79" orientation="portrait" r:id="rId1"/>
  <headerFooter>
    <oddHeader>&amp;L&amp;G&amp;C&amp;G</oddHeader>
    <oddFooter>&amp;RNovember 2016</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H13"/>
  <sheetViews>
    <sheetView view="pageLayout" zoomScaleNormal="130" zoomScaleSheetLayoutView="130" workbookViewId="0">
      <selection activeCell="C8" sqref="C8"/>
    </sheetView>
  </sheetViews>
  <sheetFormatPr defaultRowHeight="15" x14ac:dyDescent="0.25"/>
  <cols>
    <col min="3" max="3" width="19.85546875" customWidth="1"/>
    <col min="4" max="4" width="5.28515625" customWidth="1"/>
    <col min="5" max="5" width="12.28515625" customWidth="1"/>
    <col min="6" max="6" width="5.28515625" customWidth="1"/>
    <col min="7" max="7" width="8.7109375" customWidth="1"/>
    <col min="8" max="8" width="9.140625" customWidth="1"/>
  </cols>
  <sheetData>
    <row r="1" spans="1:8" ht="15" customHeight="1" x14ac:dyDescent="0.25"/>
    <row r="2" spans="1:8" ht="15.75" customHeight="1" x14ac:dyDescent="0.25">
      <c r="A2" s="60" t="s">
        <v>700</v>
      </c>
      <c r="B2" s="444" t="s">
        <v>331</v>
      </c>
      <c r="C2" s="444"/>
      <c r="D2" s="444"/>
      <c r="E2" s="444"/>
      <c r="F2" s="444"/>
      <c r="G2" s="444"/>
      <c r="H2" s="444"/>
    </row>
    <row r="3" spans="1:8" ht="32.25" customHeight="1" x14ac:dyDescent="0.25">
      <c r="A3" s="440" t="s">
        <v>0</v>
      </c>
      <c r="B3" s="452"/>
      <c r="C3" s="46" t="s">
        <v>122</v>
      </c>
      <c r="D3" s="46" t="s">
        <v>2</v>
      </c>
      <c r="E3" s="46" t="s">
        <v>332</v>
      </c>
      <c r="F3" s="46" t="s">
        <v>2</v>
      </c>
      <c r="G3" s="46" t="s">
        <v>158</v>
      </c>
      <c r="H3" s="46" t="s">
        <v>123</v>
      </c>
    </row>
    <row r="4" spans="1:8" ht="17.45" customHeight="1" x14ac:dyDescent="0.25">
      <c r="A4" s="442"/>
      <c r="B4" s="453"/>
      <c r="C4" s="526" t="s">
        <v>222</v>
      </c>
      <c r="D4" s="528"/>
      <c r="E4" s="85"/>
      <c r="F4" s="85"/>
      <c r="G4" s="85"/>
      <c r="H4" s="85"/>
    </row>
    <row r="5" spans="1:8" ht="14.45" customHeight="1" x14ac:dyDescent="0.25">
      <c r="A5" s="560" t="s">
        <v>92</v>
      </c>
      <c r="B5" s="561"/>
      <c r="C5" s="562" t="str">
        <f>IF(E5="","",IF($C$4="","",IF('4. Purchased Energy Rates'!$B$4="Section 11 ECB",E5,VLOOKUP(C4,Lists!$A$89:$B$121,2))))</f>
        <v/>
      </c>
      <c r="D5" s="563"/>
      <c r="E5" s="534"/>
      <c r="F5" s="534"/>
      <c r="G5" s="153"/>
      <c r="H5" s="153" t="s">
        <v>701</v>
      </c>
    </row>
    <row r="6" spans="1:8" ht="22.5" x14ac:dyDescent="0.25">
      <c r="A6" s="444" t="s">
        <v>93</v>
      </c>
      <c r="B6" s="444"/>
      <c r="C6" s="153"/>
      <c r="D6" s="156" t="s">
        <v>333</v>
      </c>
      <c r="E6" s="153"/>
      <c r="F6" s="156" t="s">
        <v>333</v>
      </c>
      <c r="G6" s="153"/>
      <c r="H6" s="153" t="s">
        <v>701</v>
      </c>
    </row>
    <row r="7" spans="1:8" x14ac:dyDescent="0.25">
      <c r="A7" s="444" t="s">
        <v>94</v>
      </c>
      <c r="B7" s="444"/>
      <c r="C7" s="153"/>
      <c r="D7" s="156" t="s">
        <v>334</v>
      </c>
      <c r="E7" s="153"/>
      <c r="F7" s="156" t="s">
        <v>338</v>
      </c>
      <c r="G7" s="153"/>
      <c r="H7" s="153" t="s">
        <v>701</v>
      </c>
    </row>
    <row r="8" spans="1:8" x14ac:dyDescent="0.25">
      <c r="A8" s="444" t="s">
        <v>95</v>
      </c>
      <c r="B8" s="444"/>
      <c r="C8" s="153"/>
      <c r="D8" s="44" t="s">
        <v>96</v>
      </c>
      <c r="E8" s="153"/>
      <c r="F8" s="59" t="s">
        <v>96</v>
      </c>
      <c r="G8" s="153"/>
      <c r="H8" s="153" t="s">
        <v>701</v>
      </c>
    </row>
    <row r="9" spans="1:8" x14ac:dyDescent="0.25">
      <c r="A9" s="444" t="s">
        <v>97</v>
      </c>
      <c r="B9" s="444"/>
      <c r="C9" s="153"/>
      <c r="D9" s="44" t="s">
        <v>30</v>
      </c>
      <c r="E9" s="153"/>
      <c r="F9" s="59" t="s">
        <v>30</v>
      </c>
      <c r="G9" s="153"/>
      <c r="H9" s="153" t="s">
        <v>701</v>
      </c>
    </row>
    <row r="10" spans="1:8" ht="16.5" customHeight="1" x14ac:dyDescent="0.25">
      <c r="A10" s="444" t="s">
        <v>98</v>
      </c>
      <c r="B10" s="444"/>
      <c r="C10" s="153"/>
      <c r="D10" s="44" t="s">
        <v>99</v>
      </c>
      <c r="E10" s="153"/>
      <c r="F10" s="59" t="s">
        <v>99</v>
      </c>
      <c r="G10" s="153"/>
      <c r="H10" s="153" t="s">
        <v>701</v>
      </c>
    </row>
    <row r="11" spans="1:8" ht="21.75" customHeight="1" x14ac:dyDescent="0.25">
      <c r="A11" s="444" t="s">
        <v>100</v>
      </c>
      <c r="B11" s="444"/>
      <c r="C11" s="170"/>
      <c r="D11" s="44" t="s">
        <v>33</v>
      </c>
      <c r="E11" s="170"/>
      <c r="F11" s="59" t="s">
        <v>33</v>
      </c>
      <c r="G11" s="153"/>
      <c r="H11" s="153" t="s">
        <v>701</v>
      </c>
    </row>
    <row r="12" spans="1:8" ht="24" customHeight="1" x14ac:dyDescent="0.25">
      <c r="A12" s="444" t="s">
        <v>101</v>
      </c>
      <c r="B12" s="444"/>
      <c r="C12" s="170"/>
      <c r="D12" s="44" t="s">
        <v>16</v>
      </c>
      <c r="E12" s="170"/>
      <c r="F12" s="59" t="s">
        <v>16</v>
      </c>
      <c r="G12" s="153"/>
      <c r="H12" s="153" t="s">
        <v>701</v>
      </c>
    </row>
    <row r="13" spans="1:8" ht="24" customHeight="1" x14ac:dyDescent="0.25">
      <c r="A13" s="444" t="s">
        <v>102</v>
      </c>
      <c r="B13" s="444"/>
      <c r="C13" s="558"/>
      <c r="D13" s="559"/>
      <c r="E13" s="558"/>
      <c r="F13" s="559"/>
      <c r="G13" s="153"/>
      <c r="H13" s="153" t="s">
        <v>701</v>
      </c>
    </row>
  </sheetData>
  <sheetProtection password="C5B9" sheet="1" objects="1" scenarios="1"/>
  <mergeCells count="16">
    <mergeCell ref="C4:D4"/>
    <mergeCell ref="A3:B4"/>
    <mergeCell ref="A9:B9"/>
    <mergeCell ref="E13:F13"/>
    <mergeCell ref="B2:H2"/>
    <mergeCell ref="A5:B5"/>
    <mergeCell ref="C5:D5"/>
    <mergeCell ref="A10:B10"/>
    <mergeCell ref="A11:B11"/>
    <mergeCell ref="E5:F5"/>
    <mergeCell ref="A6:B6"/>
    <mergeCell ref="C13:D13"/>
    <mergeCell ref="A12:B12"/>
    <mergeCell ref="A13:B13"/>
    <mergeCell ref="A7:B7"/>
    <mergeCell ref="A8:B8"/>
  </mergeCells>
  <pageMargins left="0.7" right="0.7" top="0.75" bottom="0.75" header="0.3" footer="0.3"/>
  <pageSetup orientation="portrait" r:id="rId1"/>
  <headerFooter>
    <oddHeader>&amp;L&amp;G&amp;C&amp;G</oddHeader>
    <oddFooter>&amp;RNovember 2016</oddFooter>
  </headerFooter>
  <colBreaks count="1" manualBreakCount="1">
    <brk id="8" max="1048575" man="1"/>
  </col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Lists!$P$4:$P$7</xm:f>
          </x14:formula1>
          <xm:sqref>F7 D7</xm:sqref>
        </x14:dataValidation>
        <x14:dataValidation type="list" allowBlank="1" showInputMessage="1" showErrorMessage="1">
          <x14:formula1>
            <xm:f>Lists!$P$1:$P$2</xm:f>
          </x14:formula1>
          <xm:sqref>F6 D6</xm:sqref>
        </x14:dataValidation>
        <x14:dataValidation type="list" allowBlank="1" showInputMessage="1" showErrorMessage="1">
          <x14:formula1>
            <xm:f>Lists!$A$89:$A$121</xm:f>
          </x14:formula1>
          <xm:sqref>C4:D4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sheetPr>
  <dimension ref="A2:J34"/>
  <sheetViews>
    <sheetView zoomScale="130" zoomScaleNormal="130" zoomScaleSheetLayoutView="85" workbookViewId="0">
      <selection activeCell="F9" sqref="F9:H9"/>
    </sheetView>
  </sheetViews>
  <sheetFormatPr defaultRowHeight="15" x14ac:dyDescent="0.25"/>
  <cols>
    <col min="3" max="3" width="28.7109375" customWidth="1"/>
    <col min="5" max="5" width="7.42578125" customWidth="1"/>
    <col min="7" max="7" width="14.42578125" customWidth="1"/>
    <col min="8" max="8" width="6.85546875" customWidth="1"/>
    <col min="9" max="9" width="11.7109375" customWidth="1"/>
    <col min="10" max="10" width="12.140625" customWidth="1"/>
  </cols>
  <sheetData>
    <row r="2" spans="1:10" ht="15.75" customHeight="1" x14ac:dyDescent="0.25">
      <c r="A2" s="466" t="s">
        <v>89</v>
      </c>
      <c r="B2" s="467"/>
      <c r="C2" s="467"/>
      <c r="D2" s="467"/>
      <c r="E2" s="467"/>
      <c r="F2" s="467"/>
      <c r="G2" s="467"/>
      <c r="H2" s="467"/>
      <c r="I2" s="467"/>
      <c r="J2" s="468"/>
    </row>
    <row r="3" spans="1:10" ht="25.5" customHeight="1" x14ac:dyDescent="0.25">
      <c r="A3" s="469"/>
      <c r="B3" s="565"/>
      <c r="C3" s="471" t="s">
        <v>374</v>
      </c>
      <c r="D3" s="564"/>
      <c r="E3" s="472"/>
      <c r="F3" s="471" t="s">
        <v>375</v>
      </c>
      <c r="G3" s="564"/>
      <c r="H3" s="564"/>
      <c r="I3" s="564"/>
      <c r="J3" s="472"/>
    </row>
    <row r="4" spans="1:10" ht="25.5" customHeight="1" x14ac:dyDescent="0.25">
      <c r="A4" s="470"/>
      <c r="B4" s="566"/>
      <c r="C4" s="447" t="s">
        <v>430</v>
      </c>
      <c r="D4" s="449"/>
      <c r="E4" s="44" t="s">
        <v>2</v>
      </c>
      <c r="F4" s="447" t="s">
        <v>430</v>
      </c>
      <c r="G4" s="449"/>
      <c r="H4" s="86" t="s">
        <v>2</v>
      </c>
      <c r="I4" s="46" t="s">
        <v>21</v>
      </c>
      <c r="J4" s="44" t="s">
        <v>123</v>
      </c>
    </row>
    <row r="5" spans="1:10" ht="15" customHeight="1" x14ac:dyDescent="0.25">
      <c r="A5" s="440" t="s">
        <v>350</v>
      </c>
      <c r="B5" s="452"/>
      <c r="C5" s="462" t="s">
        <v>150</v>
      </c>
      <c r="D5" s="582"/>
      <c r="E5" s="463"/>
      <c r="F5" s="573"/>
      <c r="G5" s="574"/>
      <c r="H5" s="575"/>
      <c r="I5" s="583"/>
      <c r="J5" s="583"/>
    </row>
    <row r="6" spans="1:10" ht="14.45" customHeight="1" x14ac:dyDescent="0.25">
      <c r="A6" s="456"/>
      <c r="B6" s="572"/>
      <c r="C6" s="568" t="str">
        <f>IF($C5="","",IF('4. Purchased Energy Rates'!$B$4="Appendix G PRM",VLOOKUP($C$5,Lists!A67:C75,2),"SELECT SYSTEM FROM DROP DOWN LIST IN CELL BELOW"))</f>
        <v>SELECT SYSTEM FROM DROP DOWN LIST IN CELL BELOW</v>
      </c>
      <c r="D6" s="569"/>
      <c r="E6" s="570"/>
      <c r="F6" s="576"/>
      <c r="G6" s="577"/>
      <c r="H6" s="578"/>
      <c r="I6" s="584"/>
      <c r="J6" s="584"/>
    </row>
    <row r="7" spans="1:10" x14ac:dyDescent="0.25">
      <c r="A7" s="442"/>
      <c r="B7" s="453"/>
      <c r="C7" s="462"/>
      <c r="D7" s="582"/>
      <c r="E7" s="463"/>
      <c r="F7" s="579"/>
      <c r="G7" s="580"/>
      <c r="H7" s="581"/>
      <c r="I7" s="585"/>
      <c r="J7" s="585"/>
    </row>
    <row r="8" spans="1:10" ht="24" customHeight="1" x14ac:dyDescent="0.25">
      <c r="A8" s="444" t="s">
        <v>3</v>
      </c>
      <c r="B8" s="444"/>
      <c r="C8" s="534"/>
      <c r="D8" s="534"/>
      <c r="E8" s="534"/>
      <c r="F8" s="534"/>
      <c r="G8" s="534"/>
      <c r="H8" s="534"/>
      <c r="I8" s="153"/>
      <c r="J8" s="153"/>
    </row>
    <row r="9" spans="1:10" ht="26.25" customHeight="1" x14ac:dyDescent="0.25">
      <c r="A9" s="444" t="s">
        <v>351</v>
      </c>
      <c r="B9" s="444"/>
      <c r="C9" s="534"/>
      <c r="D9" s="534"/>
      <c r="E9" s="534"/>
      <c r="F9" s="534"/>
      <c r="G9" s="534"/>
      <c r="H9" s="534"/>
      <c r="I9" s="153"/>
      <c r="J9" s="153"/>
    </row>
    <row r="10" spans="1:10" ht="24.75" customHeight="1" x14ac:dyDescent="0.25">
      <c r="A10" s="444" t="s">
        <v>4</v>
      </c>
      <c r="B10" s="444"/>
      <c r="C10" s="534"/>
      <c r="D10" s="534"/>
      <c r="E10" s="136" t="s">
        <v>355</v>
      </c>
      <c r="F10" s="534"/>
      <c r="G10" s="534"/>
      <c r="H10" s="136" t="s">
        <v>355</v>
      </c>
      <c r="I10" s="153"/>
      <c r="J10" s="153"/>
    </row>
    <row r="11" spans="1:10" ht="36" customHeight="1" x14ac:dyDescent="0.25">
      <c r="A11" s="444" t="s">
        <v>5</v>
      </c>
      <c r="B11" s="444"/>
      <c r="C11" s="534"/>
      <c r="D11" s="534"/>
      <c r="E11" s="136" t="s">
        <v>355</v>
      </c>
      <c r="F11" s="534"/>
      <c r="G11" s="534"/>
      <c r="H11" s="136" t="s">
        <v>355</v>
      </c>
      <c r="I11" s="153"/>
      <c r="J11" s="153"/>
    </row>
    <row r="12" spans="1:10" ht="21.75" customHeight="1" x14ac:dyDescent="0.25">
      <c r="A12" s="440" t="s">
        <v>354</v>
      </c>
      <c r="B12" s="452"/>
      <c r="C12" s="573"/>
      <c r="D12" s="575"/>
      <c r="E12" s="171" t="s">
        <v>357</v>
      </c>
      <c r="F12" s="534"/>
      <c r="G12" s="534"/>
      <c r="H12" s="171" t="s">
        <v>358</v>
      </c>
      <c r="I12" s="153"/>
      <c r="J12" s="153"/>
    </row>
    <row r="13" spans="1:10" ht="24" customHeight="1" x14ac:dyDescent="0.25">
      <c r="A13" s="444" t="s">
        <v>352</v>
      </c>
      <c r="B13" s="444"/>
      <c r="C13" s="534"/>
      <c r="D13" s="534"/>
      <c r="E13" s="172" t="s">
        <v>362</v>
      </c>
      <c r="F13" s="534"/>
      <c r="G13" s="534"/>
      <c r="H13" s="172" t="s">
        <v>362</v>
      </c>
      <c r="I13" s="153"/>
      <c r="J13" s="153"/>
    </row>
    <row r="14" spans="1:10" ht="24" customHeight="1" x14ac:dyDescent="0.25">
      <c r="A14" s="444" t="s">
        <v>6</v>
      </c>
      <c r="B14" s="444"/>
      <c r="C14" s="534"/>
      <c r="D14" s="534"/>
      <c r="E14" s="136" t="s">
        <v>333</v>
      </c>
      <c r="F14" s="534"/>
      <c r="G14" s="534"/>
      <c r="H14" s="136" t="s">
        <v>333</v>
      </c>
      <c r="I14" s="153"/>
      <c r="J14" s="153"/>
    </row>
    <row r="15" spans="1:10" ht="36" customHeight="1" x14ac:dyDescent="0.25">
      <c r="A15" s="444" t="s">
        <v>7</v>
      </c>
      <c r="B15" s="444"/>
      <c r="C15" s="534"/>
      <c r="D15" s="534"/>
      <c r="E15" s="136" t="s">
        <v>337</v>
      </c>
      <c r="F15" s="534"/>
      <c r="G15" s="534"/>
      <c r="H15" s="136"/>
      <c r="I15" s="153"/>
      <c r="J15" s="153"/>
    </row>
    <row r="16" spans="1:10" ht="24" customHeight="1" x14ac:dyDescent="0.25">
      <c r="A16" s="444" t="s">
        <v>8</v>
      </c>
      <c r="B16" s="444"/>
      <c r="C16" s="534"/>
      <c r="D16" s="534"/>
      <c r="E16" s="136"/>
      <c r="F16" s="534"/>
      <c r="G16" s="534"/>
      <c r="H16" s="136"/>
      <c r="I16" s="153"/>
      <c r="J16" s="153"/>
    </row>
    <row r="17" spans="1:10" ht="14.45" customHeight="1" x14ac:dyDescent="0.25">
      <c r="A17" s="444" t="s">
        <v>9</v>
      </c>
      <c r="B17" s="444"/>
      <c r="C17" s="568" t="str">
        <f>IF($C$6="","",IF($C$8="","",IF('4. Purchased Energy Rates'!$B$4="Section 11 ECB",VLOOKUP('6i. HVAC Air-Side '!C7,Lists!A48:B58,2),VLOOKUP('6i. HVAC Air-Side '!C6,Lists!B78:C86,2))))</f>
        <v/>
      </c>
      <c r="D17" s="569"/>
      <c r="E17" s="570"/>
      <c r="F17" s="571"/>
      <c r="G17" s="571"/>
      <c r="H17" s="571"/>
      <c r="I17" s="153"/>
      <c r="J17" s="153"/>
    </row>
    <row r="18" spans="1:10" x14ac:dyDescent="0.25">
      <c r="A18" s="444" t="s">
        <v>10</v>
      </c>
      <c r="B18" s="444"/>
      <c r="C18" s="534"/>
      <c r="D18" s="534"/>
      <c r="E18" s="172" t="s">
        <v>11</v>
      </c>
      <c r="F18" s="534"/>
      <c r="G18" s="534"/>
      <c r="H18" s="172" t="s">
        <v>11</v>
      </c>
      <c r="I18" s="153"/>
      <c r="J18" s="153"/>
    </row>
    <row r="19" spans="1:10" x14ac:dyDescent="0.25">
      <c r="A19" s="444" t="s">
        <v>12</v>
      </c>
      <c r="B19" s="444"/>
      <c r="C19" s="534"/>
      <c r="D19" s="534"/>
      <c r="E19" s="172" t="s">
        <v>11</v>
      </c>
      <c r="F19" s="534"/>
      <c r="G19" s="534"/>
      <c r="H19" s="172" t="s">
        <v>11</v>
      </c>
      <c r="I19" s="153"/>
      <c r="J19" s="153"/>
    </row>
    <row r="20" spans="1:10" ht="24" customHeight="1" x14ac:dyDescent="0.25">
      <c r="A20" s="444" t="s">
        <v>13</v>
      </c>
      <c r="B20" s="444"/>
      <c r="C20" s="454"/>
      <c r="D20" s="454"/>
      <c r="E20" s="454"/>
      <c r="F20" s="454"/>
      <c r="G20" s="454"/>
      <c r="H20" s="454"/>
      <c r="I20" s="153"/>
      <c r="J20" s="153"/>
    </row>
    <row r="21" spans="1:10" x14ac:dyDescent="0.25">
      <c r="A21" s="435" t="s">
        <v>14</v>
      </c>
      <c r="B21" s="435"/>
      <c r="C21" s="534"/>
      <c r="D21" s="534"/>
      <c r="E21" s="153"/>
      <c r="F21" s="534"/>
      <c r="G21" s="534"/>
      <c r="H21" s="153"/>
      <c r="I21" s="153"/>
      <c r="J21" s="153"/>
    </row>
    <row r="22" spans="1:10" x14ac:dyDescent="0.25">
      <c r="A22" s="435"/>
      <c r="B22" s="435"/>
      <c r="C22" s="534"/>
      <c r="D22" s="534"/>
      <c r="E22" s="153"/>
      <c r="F22" s="534"/>
      <c r="G22" s="534"/>
      <c r="H22" s="153"/>
      <c r="I22" s="153"/>
      <c r="J22" s="153"/>
    </row>
    <row r="23" spans="1:10" x14ac:dyDescent="0.25">
      <c r="A23" s="435"/>
      <c r="B23" s="435"/>
      <c r="C23" s="534"/>
      <c r="D23" s="534"/>
      <c r="E23" s="153"/>
      <c r="F23" s="534"/>
      <c r="G23" s="534"/>
      <c r="H23" s="153"/>
      <c r="I23" s="153"/>
      <c r="J23" s="153"/>
    </row>
    <row r="24" spans="1:10" ht="27.75" customHeight="1" x14ac:dyDescent="0.25">
      <c r="A24" s="444" t="s">
        <v>22</v>
      </c>
      <c r="B24" s="444"/>
      <c r="C24" s="534"/>
      <c r="D24" s="534"/>
      <c r="E24" s="534"/>
      <c r="F24" s="534"/>
      <c r="G24" s="534"/>
      <c r="H24" s="534"/>
      <c r="I24" s="153"/>
      <c r="J24" s="153"/>
    </row>
    <row r="25" spans="1:10" ht="36" customHeight="1" x14ac:dyDescent="0.25">
      <c r="A25" s="444" t="s">
        <v>53</v>
      </c>
      <c r="B25" s="444"/>
      <c r="C25" s="534"/>
      <c r="D25" s="534"/>
      <c r="E25" s="534"/>
      <c r="F25" s="534"/>
      <c r="G25" s="534"/>
      <c r="H25" s="534"/>
      <c r="I25" s="153"/>
      <c r="J25" s="153"/>
    </row>
    <row r="26" spans="1:10" x14ac:dyDescent="0.25">
      <c r="A26" s="444" t="s">
        <v>15</v>
      </c>
      <c r="B26" s="444"/>
      <c r="C26" s="534"/>
      <c r="D26" s="534"/>
      <c r="E26" s="172" t="s">
        <v>16</v>
      </c>
      <c r="F26" s="534"/>
      <c r="G26" s="534"/>
      <c r="H26" s="172" t="s">
        <v>16</v>
      </c>
      <c r="I26" s="153"/>
      <c r="J26" s="153"/>
    </row>
    <row r="27" spans="1:10" x14ac:dyDescent="0.25">
      <c r="A27" s="444" t="s">
        <v>17</v>
      </c>
      <c r="B27" s="444"/>
      <c r="C27" s="534"/>
      <c r="D27" s="534"/>
      <c r="E27" s="172" t="s">
        <v>16</v>
      </c>
      <c r="F27" s="534"/>
      <c r="G27" s="534"/>
      <c r="H27" s="172" t="s">
        <v>16</v>
      </c>
      <c r="I27" s="153"/>
      <c r="J27" s="153"/>
    </row>
    <row r="28" spans="1:10" x14ac:dyDescent="0.25">
      <c r="A28" s="444" t="s">
        <v>18</v>
      </c>
      <c r="B28" s="444"/>
      <c r="C28" s="534"/>
      <c r="D28" s="534"/>
      <c r="E28" s="172" t="s">
        <v>16</v>
      </c>
      <c r="F28" s="534"/>
      <c r="G28" s="534"/>
      <c r="H28" s="172" t="s">
        <v>16</v>
      </c>
      <c r="I28" s="153"/>
      <c r="J28" s="153"/>
    </row>
    <row r="29" spans="1:10" x14ac:dyDescent="0.25">
      <c r="A29" s="444" t="s">
        <v>19</v>
      </c>
      <c r="B29" s="444"/>
      <c r="C29" s="534"/>
      <c r="D29" s="534"/>
      <c r="E29" s="172" t="s">
        <v>16</v>
      </c>
      <c r="F29" s="534"/>
      <c r="G29" s="534"/>
      <c r="H29" s="172" t="s">
        <v>16</v>
      </c>
      <c r="I29" s="153"/>
      <c r="J29" s="153"/>
    </row>
    <row r="30" spans="1:10" x14ac:dyDescent="0.25">
      <c r="A30" s="535" t="s">
        <v>20</v>
      </c>
      <c r="B30" s="535"/>
      <c r="C30" s="567"/>
      <c r="D30" s="567"/>
      <c r="E30" s="172" t="s">
        <v>16</v>
      </c>
      <c r="F30" s="567"/>
      <c r="G30" s="567"/>
      <c r="H30" s="172" t="s">
        <v>16</v>
      </c>
      <c r="I30" s="173"/>
      <c r="J30" s="173"/>
    </row>
    <row r="31" spans="1:10" x14ac:dyDescent="0.25">
      <c r="A31" s="447" t="s">
        <v>353</v>
      </c>
      <c r="B31" s="449"/>
      <c r="C31" s="534"/>
      <c r="D31" s="534"/>
      <c r="E31" s="534"/>
      <c r="F31" s="534"/>
      <c r="G31" s="534"/>
      <c r="H31" s="534"/>
      <c r="I31" s="153"/>
      <c r="J31" s="153"/>
    </row>
    <row r="32" spans="1:10" x14ac:dyDescent="0.25">
      <c r="A32" s="447" t="s">
        <v>353</v>
      </c>
      <c r="B32" s="449"/>
      <c r="C32" s="534"/>
      <c r="D32" s="534"/>
      <c r="E32" s="534"/>
      <c r="F32" s="534"/>
      <c r="G32" s="534"/>
      <c r="H32" s="534"/>
      <c r="I32" s="153"/>
      <c r="J32" s="153"/>
    </row>
    <row r="33" spans="1:10" x14ac:dyDescent="0.25">
      <c r="A33" s="447" t="s">
        <v>353</v>
      </c>
      <c r="B33" s="449"/>
      <c r="C33" s="534"/>
      <c r="D33" s="534"/>
      <c r="E33" s="534"/>
      <c r="F33" s="534"/>
      <c r="G33" s="534"/>
      <c r="H33" s="534"/>
      <c r="I33" s="153"/>
      <c r="J33" s="153"/>
    </row>
    <row r="34" spans="1:10" x14ac:dyDescent="0.25">
      <c r="A34" s="447" t="s">
        <v>353</v>
      </c>
      <c r="B34" s="449"/>
      <c r="C34" s="534"/>
      <c r="D34" s="534"/>
      <c r="E34" s="534"/>
      <c r="F34" s="534"/>
      <c r="G34" s="534"/>
      <c r="H34" s="534"/>
      <c r="I34" s="153"/>
      <c r="J34" s="153"/>
    </row>
  </sheetData>
  <sheetProtection password="C5B9" sheet="1" objects="1" scenarios="1"/>
  <dataConsolidate/>
  <mergeCells count="92">
    <mergeCell ref="A2:J2"/>
    <mergeCell ref="A13:B13"/>
    <mergeCell ref="C13:D13"/>
    <mergeCell ref="C3:E3"/>
    <mergeCell ref="C8:E8"/>
    <mergeCell ref="A8:B8"/>
    <mergeCell ref="A9:B9"/>
    <mergeCell ref="A10:B10"/>
    <mergeCell ref="A11:B11"/>
    <mergeCell ref="A12:B12"/>
    <mergeCell ref="C12:D12"/>
    <mergeCell ref="F12:G12"/>
    <mergeCell ref="F8:H8"/>
    <mergeCell ref="F13:G13"/>
    <mergeCell ref="I5:I7"/>
    <mergeCell ref="J5:J7"/>
    <mergeCell ref="A5:B7"/>
    <mergeCell ref="F5:H7"/>
    <mergeCell ref="C5:E5"/>
    <mergeCell ref="C7:E7"/>
    <mergeCell ref="C6:E6"/>
    <mergeCell ref="A14:B14"/>
    <mergeCell ref="C14:D14"/>
    <mergeCell ref="F14:G14"/>
    <mergeCell ref="A15:B15"/>
    <mergeCell ref="C15:D15"/>
    <mergeCell ref="F15:G15"/>
    <mergeCell ref="C9:E9"/>
    <mergeCell ref="F9:H9"/>
    <mergeCell ref="C10:D10"/>
    <mergeCell ref="F10:G10"/>
    <mergeCell ref="C11:D11"/>
    <mergeCell ref="F11:G11"/>
    <mergeCell ref="C23:D23"/>
    <mergeCell ref="F23:G23"/>
    <mergeCell ref="A18:B18"/>
    <mergeCell ref="C18:D18"/>
    <mergeCell ref="F18:G18"/>
    <mergeCell ref="A19:B19"/>
    <mergeCell ref="C19:D19"/>
    <mergeCell ref="F19:G19"/>
    <mergeCell ref="A20:B20"/>
    <mergeCell ref="C20:E20"/>
    <mergeCell ref="F20:H20"/>
    <mergeCell ref="A21:B23"/>
    <mergeCell ref="C21:D21"/>
    <mergeCell ref="F21:G21"/>
    <mergeCell ref="C22:D22"/>
    <mergeCell ref="F22:G22"/>
    <mergeCell ref="A16:B16"/>
    <mergeCell ref="C16:D16"/>
    <mergeCell ref="F16:G16"/>
    <mergeCell ref="A17:B17"/>
    <mergeCell ref="C17:E17"/>
    <mergeCell ref="F17:H17"/>
    <mergeCell ref="A26:B26"/>
    <mergeCell ref="C26:D26"/>
    <mergeCell ref="F26:G26"/>
    <mergeCell ref="A27:B27"/>
    <mergeCell ref="C27:D27"/>
    <mergeCell ref="F27:G27"/>
    <mergeCell ref="A24:B24"/>
    <mergeCell ref="C24:E24"/>
    <mergeCell ref="F24:H24"/>
    <mergeCell ref="A25:B25"/>
    <mergeCell ref="C25:E25"/>
    <mergeCell ref="F25:H25"/>
    <mergeCell ref="A33:B33"/>
    <mergeCell ref="A34:B34"/>
    <mergeCell ref="F4:G4"/>
    <mergeCell ref="C4:D4"/>
    <mergeCell ref="F3:J3"/>
    <mergeCell ref="A3:B4"/>
    <mergeCell ref="C33:E33"/>
    <mergeCell ref="F33:H33"/>
    <mergeCell ref="C34:E34"/>
    <mergeCell ref="F34:H34"/>
    <mergeCell ref="A30:B30"/>
    <mergeCell ref="C30:D30"/>
    <mergeCell ref="F30:G30"/>
    <mergeCell ref="C31:E31"/>
    <mergeCell ref="F31:H31"/>
    <mergeCell ref="C32:E32"/>
    <mergeCell ref="F32:H32"/>
    <mergeCell ref="A31:B31"/>
    <mergeCell ref="A32:B32"/>
    <mergeCell ref="A28:B28"/>
    <mergeCell ref="C28:D28"/>
    <mergeCell ref="F28:G28"/>
    <mergeCell ref="A29:B29"/>
    <mergeCell ref="C29:D29"/>
    <mergeCell ref="F29:G29"/>
  </mergeCells>
  <dataValidations count="2">
    <dataValidation type="list" allowBlank="1" showInputMessage="1" showErrorMessage="1" sqref="C20:H20">
      <formula1>Yes_No</formula1>
    </dataValidation>
    <dataValidation type="list" allowBlank="1" showInputMessage="1" showErrorMessage="1" sqref="H16">
      <formula1>$O$4:$O$10</formula1>
    </dataValidation>
  </dataValidations>
  <pageMargins left="0.7" right="0.7" top="0.75" bottom="0.75" header="0.3" footer="0.3"/>
  <pageSetup scale="76" orientation="portrait" r:id="rId1"/>
  <headerFooter>
    <oddHeader>&amp;L&amp;G&amp;C&amp;G</oddHeader>
    <oddFooter>&amp;RNovember 2016</oddFooter>
  </headerFooter>
  <colBreaks count="1" manualBreakCount="1">
    <brk id="10" max="1048575" man="1"/>
  </colBreaks>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Lists!$Q$4:$Q$7</xm:f>
          </x14:formula1>
          <xm:sqref>E10:E11 H10:H11</xm:sqref>
        </x14:dataValidation>
        <x14:dataValidation type="list" allowBlank="1" showInputMessage="1" showErrorMessage="1">
          <x14:formula1>
            <xm:f>Lists!$R$4:$R$5</xm:f>
          </x14:formula1>
          <xm:sqref>H12 E12</xm:sqref>
        </x14:dataValidation>
        <x14:dataValidation type="list" allowBlank="1" showInputMessage="1" showErrorMessage="1">
          <x14:formula1>
            <xm:f>Lists!$P$1:$P$2</xm:f>
          </x14:formula1>
          <xm:sqref>H14 E14</xm:sqref>
        </x14:dataValidation>
        <x14:dataValidation type="list" allowBlank="1" showInputMessage="1" showErrorMessage="1">
          <x14:formula1>
            <xm:f>Lists!$S$4:$S$7</xm:f>
          </x14:formula1>
          <xm:sqref>H15 E15</xm:sqref>
        </x14:dataValidation>
        <x14:dataValidation type="list" allowBlank="1" showInputMessage="1" showErrorMessage="1">
          <x14:formula1>
            <xm:f>Lists!$S$4:$S$8</xm:f>
          </x14:formula1>
          <xm:sqref>E16</xm:sqref>
        </x14:dataValidation>
        <x14:dataValidation type="list" allowBlank="1" showInputMessage="1" showErrorMessage="1" promptTitle="Appendix G System Selection" prompt="Only select a system when Appendix G is used for compliance_x000a_">
          <x14:formula1>
            <xm:f>Lists!$A$67:$A$75</xm:f>
          </x14:formula1>
          <xm:sqref>C5:E5</xm:sqref>
        </x14:dataValidation>
        <x14:dataValidation type="list" allowBlank="1" showInputMessage="1" showErrorMessage="1" promptTitle="ECB System Selection" prompt="Only select a system with ECB compliance path is selected.">
          <x14:formula1>
            <xm:f>Lists!$A$48:$A$58</xm:f>
          </x14:formula1>
          <xm:sqref>C7:E7</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C000"/>
  </sheetPr>
  <dimension ref="A2:J34"/>
  <sheetViews>
    <sheetView zoomScale="130" zoomScaleNormal="130" zoomScaleSheetLayoutView="85" workbookViewId="0">
      <selection activeCell="M8" sqref="M8"/>
    </sheetView>
  </sheetViews>
  <sheetFormatPr defaultRowHeight="15" x14ac:dyDescent="0.25"/>
  <cols>
    <col min="3" max="3" width="28.7109375" customWidth="1"/>
    <col min="5" max="5" width="7.42578125" customWidth="1"/>
    <col min="7" max="7" width="14.42578125" customWidth="1"/>
    <col min="8" max="8" width="6.85546875" customWidth="1"/>
    <col min="9" max="9" width="11.7109375" customWidth="1"/>
    <col min="10" max="10" width="12.140625" customWidth="1"/>
  </cols>
  <sheetData>
    <row r="2" spans="1:10" ht="15.75" customHeight="1" x14ac:dyDescent="0.25">
      <c r="A2" s="466" t="s">
        <v>89</v>
      </c>
      <c r="B2" s="467"/>
      <c r="C2" s="467"/>
      <c r="D2" s="467"/>
      <c r="E2" s="467"/>
      <c r="F2" s="467"/>
      <c r="G2" s="467"/>
      <c r="H2" s="467"/>
      <c r="I2" s="467"/>
      <c r="J2" s="468"/>
    </row>
    <row r="3" spans="1:10" ht="25.5" customHeight="1" x14ac:dyDescent="0.25">
      <c r="A3" s="469"/>
      <c r="B3" s="565"/>
      <c r="C3" s="471" t="s">
        <v>374</v>
      </c>
      <c r="D3" s="564"/>
      <c r="E3" s="472"/>
      <c r="F3" s="471" t="s">
        <v>375</v>
      </c>
      <c r="G3" s="564"/>
      <c r="H3" s="564"/>
      <c r="I3" s="564"/>
      <c r="J3" s="472"/>
    </row>
    <row r="4" spans="1:10" ht="25.5" customHeight="1" x14ac:dyDescent="0.25">
      <c r="A4" s="470"/>
      <c r="B4" s="566"/>
      <c r="C4" s="447" t="s">
        <v>430</v>
      </c>
      <c r="D4" s="449"/>
      <c r="E4" s="200" t="s">
        <v>2</v>
      </c>
      <c r="F4" s="447" t="s">
        <v>430</v>
      </c>
      <c r="G4" s="449"/>
      <c r="H4" s="200" t="s">
        <v>2</v>
      </c>
      <c r="I4" s="202" t="s">
        <v>21</v>
      </c>
      <c r="J4" s="200" t="s">
        <v>123</v>
      </c>
    </row>
    <row r="5" spans="1:10" ht="15" customHeight="1" x14ac:dyDescent="0.25">
      <c r="A5" s="440" t="s">
        <v>350</v>
      </c>
      <c r="B5" s="452"/>
      <c r="C5" s="462" t="s">
        <v>801</v>
      </c>
      <c r="D5" s="582"/>
      <c r="E5" s="463"/>
      <c r="F5" s="573"/>
      <c r="G5" s="574"/>
      <c r="H5" s="575"/>
      <c r="I5" s="583"/>
      <c r="J5" s="583"/>
    </row>
    <row r="6" spans="1:10" ht="14.45" customHeight="1" x14ac:dyDescent="0.25">
      <c r="A6" s="456"/>
      <c r="B6" s="572"/>
      <c r="C6" s="568" t="str">
        <f>IF($C5="","",IF('4. Purchased Energy Rates'!$B$4="Appendix G PRM",VLOOKUP($C$5,Lists!A67:C75,2),"SELECT SYSTEM FROM DROP DOWN LIST IN CELL BELOW"))</f>
        <v>SELECT SYSTEM FROM DROP DOWN LIST IN CELL BELOW</v>
      </c>
      <c r="D6" s="569"/>
      <c r="E6" s="570"/>
      <c r="F6" s="576"/>
      <c r="G6" s="577"/>
      <c r="H6" s="578"/>
      <c r="I6" s="584"/>
      <c r="J6" s="584"/>
    </row>
    <row r="7" spans="1:10" x14ac:dyDescent="0.25">
      <c r="A7" s="442"/>
      <c r="B7" s="453"/>
      <c r="C7" s="462" t="s">
        <v>593</v>
      </c>
      <c r="D7" s="582"/>
      <c r="E7" s="463"/>
      <c r="F7" s="579"/>
      <c r="G7" s="580"/>
      <c r="H7" s="581"/>
      <c r="I7" s="585"/>
      <c r="J7" s="585"/>
    </row>
    <row r="8" spans="1:10" ht="24" customHeight="1" x14ac:dyDescent="0.25">
      <c r="A8" s="444" t="s">
        <v>3</v>
      </c>
      <c r="B8" s="444"/>
      <c r="C8" s="534"/>
      <c r="D8" s="534"/>
      <c r="E8" s="534"/>
      <c r="F8" s="534"/>
      <c r="G8" s="534"/>
      <c r="H8" s="534"/>
      <c r="I8" s="199"/>
      <c r="J8" s="199"/>
    </row>
    <row r="9" spans="1:10" ht="26.25" customHeight="1" x14ac:dyDescent="0.25">
      <c r="A9" s="444" t="s">
        <v>351</v>
      </c>
      <c r="B9" s="444"/>
      <c r="C9" s="534"/>
      <c r="D9" s="534"/>
      <c r="E9" s="534"/>
      <c r="F9" s="534"/>
      <c r="G9" s="534"/>
      <c r="H9" s="534"/>
      <c r="I9" s="199"/>
      <c r="J9" s="199"/>
    </row>
    <row r="10" spans="1:10" ht="24.75" customHeight="1" x14ac:dyDescent="0.25">
      <c r="A10" s="444" t="s">
        <v>4</v>
      </c>
      <c r="B10" s="444"/>
      <c r="C10" s="534"/>
      <c r="D10" s="534"/>
      <c r="E10" s="205" t="s">
        <v>355</v>
      </c>
      <c r="F10" s="534"/>
      <c r="G10" s="534"/>
      <c r="H10" s="205" t="s">
        <v>355</v>
      </c>
      <c r="I10" s="199"/>
      <c r="J10" s="199"/>
    </row>
    <row r="11" spans="1:10" ht="36" customHeight="1" x14ac:dyDescent="0.25">
      <c r="A11" s="444" t="s">
        <v>5</v>
      </c>
      <c r="B11" s="444"/>
      <c r="C11" s="534"/>
      <c r="D11" s="534"/>
      <c r="E11" s="205" t="s">
        <v>355</v>
      </c>
      <c r="F11" s="534"/>
      <c r="G11" s="534"/>
      <c r="H11" s="205" t="s">
        <v>355</v>
      </c>
      <c r="I11" s="199"/>
      <c r="J11" s="199"/>
    </row>
    <row r="12" spans="1:10" ht="21.75" customHeight="1" x14ac:dyDescent="0.25">
      <c r="A12" s="440" t="s">
        <v>354</v>
      </c>
      <c r="B12" s="452"/>
      <c r="C12" s="573"/>
      <c r="D12" s="575"/>
      <c r="E12" s="171" t="s">
        <v>357</v>
      </c>
      <c r="F12" s="534"/>
      <c r="G12" s="534"/>
      <c r="H12" s="171" t="s">
        <v>358</v>
      </c>
      <c r="I12" s="199"/>
      <c r="J12" s="199"/>
    </row>
    <row r="13" spans="1:10" ht="24" customHeight="1" x14ac:dyDescent="0.25">
      <c r="A13" s="444" t="s">
        <v>352</v>
      </c>
      <c r="B13" s="444"/>
      <c r="C13" s="534"/>
      <c r="D13" s="534"/>
      <c r="E13" s="172" t="s">
        <v>362</v>
      </c>
      <c r="F13" s="534"/>
      <c r="G13" s="534"/>
      <c r="H13" s="172" t="s">
        <v>362</v>
      </c>
      <c r="I13" s="199"/>
      <c r="J13" s="199"/>
    </row>
    <row r="14" spans="1:10" ht="24" customHeight="1" x14ac:dyDescent="0.25">
      <c r="A14" s="444" t="s">
        <v>6</v>
      </c>
      <c r="B14" s="444"/>
      <c r="C14" s="534"/>
      <c r="D14" s="534"/>
      <c r="E14" s="205" t="s">
        <v>333</v>
      </c>
      <c r="F14" s="534"/>
      <c r="G14" s="534"/>
      <c r="H14" s="205" t="s">
        <v>333</v>
      </c>
      <c r="I14" s="199"/>
      <c r="J14" s="199"/>
    </row>
    <row r="15" spans="1:10" ht="36" customHeight="1" x14ac:dyDescent="0.25">
      <c r="A15" s="444" t="s">
        <v>7</v>
      </c>
      <c r="B15" s="444"/>
      <c r="C15" s="534"/>
      <c r="D15" s="534"/>
      <c r="E15" s="205" t="s">
        <v>337</v>
      </c>
      <c r="F15" s="534"/>
      <c r="G15" s="534"/>
      <c r="H15" s="205"/>
      <c r="I15" s="199"/>
      <c r="J15" s="199"/>
    </row>
    <row r="16" spans="1:10" ht="24" customHeight="1" x14ac:dyDescent="0.25">
      <c r="A16" s="444" t="s">
        <v>8</v>
      </c>
      <c r="B16" s="444"/>
      <c r="C16" s="534"/>
      <c r="D16" s="534"/>
      <c r="E16" s="205"/>
      <c r="F16" s="534"/>
      <c r="G16" s="534"/>
      <c r="H16" s="205"/>
      <c r="I16" s="199"/>
      <c r="J16" s="199"/>
    </row>
    <row r="17" spans="1:10" ht="14.45" customHeight="1" x14ac:dyDescent="0.25">
      <c r="A17" s="444" t="s">
        <v>9</v>
      </c>
      <c r="B17" s="444"/>
      <c r="C17" s="568" t="str">
        <f>IF($C$6="","",IF($C$8="","",IF('4. Purchased Energy Rates'!$B$4="Section 11 ECB",VLOOKUP('6i. HVAC Air-Side  (2)'!C7,Lists!A48:B58,2),VLOOKUP('6i. HVAC Air-Side  (2)'!C6,Lists!B78:C86,2))))</f>
        <v/>
      </c>
      <c r="D17" s="569"/>
      <c r="E17" s="570"/>
      <c r="F17" s="571"/>
      <c r="G17" s="571"/>
      <c r="H17" s="571"/>
      <c r="I17" s="199"/>
      <c r="J17" s="199"/>
    </row>
    <row r="18" spans="1:10" x14ac:dyDescent="0.25">
      <c r="A18" s="444" t="s">
        <v>10</v>
      </c>
      <c r="B18" s="444"/>
      <c r="C18" s="534"/>
      <c r="D18" s="534"/>
      <c r="E18" s="172" t="s">
        <v>11</v>
      </c>
      <c r="F18" s="534"/>
      <c r="G18" s="534"/>
      <c r="H18" s="172" t="s">
        <v>11</v>
      </c>
      <c r="I18" s="199"/>
      <c r="J18" s="199"/>
    </row>
    <row r="19" spans="1:10" x14ac:dyDescent="0.25">
      <c r="A19" s="444" t="s">
        <v>12</v>
      </c>
      <c r="B19" s="444"/>
      <c r="C19" s="534"/>
      <c r="D19" s="534"/>
      <c r="E19" s="172" t="s">
        <v>11</v>
      </c>
      <c r="F19" s="534"/>
      <c r="G19" s="534"/>
      <c r="H19" s="172" t="s">
        <v>11</v>
      </c>
      <c r="I19" s="199"/>
      <c r="J19" s="199"/>
    </row>
    <row r="20" spans="1:10" ht="24" customHeight="1" x14ac:dyDescent="0.25">
      <c r="A20" s="444" t="s">
        <v>13</v>
      </c>
      <c r="B20" s="444"/>
      <c r="C20" s="454"/>
      <c r="D20" s="454"/>
      <c r="E20" s="454"/>
      <c r="F20" s="454"/>
      <c r="G20" s="454"/>
      <c r="H20" s="454"/>
      <c r="I20" s="199"/>
      <c r="J20" s="199"/>
    </row>
    <row r="21" spans="1:10" x14ac:dyDescent="0.25">
      <c r="A21" s="435" t="s">
        <v>14</v>
      </c>
      <c r="B21" s="435"/>
      <c r="C21" s="534"/>
      <c r="D21" s="534"/>
      <c r="E21" s="199"/>
      <c r="F21" s="534"/>
      <c r="G21" s="534"/>
      <c r="H21" s="199"/>
      <c r="I21" s="199"/>
      <c r="J21" s="199"/>
    </row>
    <row r="22" spans="1:10" x14ac:dyDescent="0.25">
      <c r="A22" s="435"/>
      <c r="B22" s="435"/>
      <c r="C22" s="534"/>
      <c r="D22" s="534"/>
      <c r="E22" s="199"/>
      <c r="F22" s="534"/>
      <c r="G22" s="534"/>
      <c r="H22" s="199"/>
      <c r="I22" s="199"/>
      <c r="J22" s="199"/>
    </row>
    <row r="23" spans="1:10" x14ac:dyDescent="0.25">
      <c r="A23" s="435"/>
      <c r="B23" s="435"/>
      <c r="C23" s="534"/>
      <c r="D23" s="534"/>
      <c r="E23" s="199"/>
      <c r="F23" s="534"/>
      <c r="G23" s="534"/>
      <c r="H23" s="199"/>
      <c r="I23" s="199"/>
      <c r="J23" s="199"/>
    </row>
    <row r="24" spans="1:10" ht="27.75" customHeight="1" x14ac:dyDescent="0.25">
      <c r="A24" s="444" t="s">
        <v>22</v>
      </c>
      <c r="B24" s="444"/>
      <c r="C24" s="534"/>
      <c r="D24" s="534"/>
      <c r="E24" s="534"/>
      <c r="F24" s="534"/>
      <c r="G24" s="534"/>
      <c r="H24" s="534"/>
      <c r="I24" s="199"/>
      <c r="J24" s="199"/>
    </row>
    <row r="25" spans="1:10" ht="36" customHeight="1" x14ac:dyDescent="0.25">
      <c r="A25" s="444" t="s">
        <v>53</v>
      </c>
      <c r="B25" s="444"/>
      <c r="C25" s="534"/>
      <c r="D25" s="534"/>
      <c r="E25" s="534"/>
      <c r="F25" s="534"/>
      <c r="G25" s="534"/>
      <c r="H25" s="534"/>
      <c r="I25" s="199"/>
      <c r="J25" s="199"/>
    </row>
    <row r="26" spans="1:10" x14ac:dyDescent="0.25">
      <c r="A26" s="444" t="s">
        <v>15</v>
      </c>
      <c r="B26" s="444"/>
      <c r="C26" s="534"/>
      <c r="D26" s="534"/>
      <c r="E26" s="172" t="s">
        <v>16</v>
      </c>
      <c r="F26" s="534"/>
      <c r="G26" s="534"/>
      <c r="H26" s="172" t="s">
        <v>16</v>
      </c>
      <c r="I26" s="199"/>
      <c r="J26" s="199"/>
    </row>
    <row r="27" spans="1:10" x14ac:dyDescent="0.25">
      <c r="A27" s="444" t="s">
        <v>17</v>
      </c>
      <c r="B27" s="444"/>
      <c r="C27" s="534"/>
      <c r="D27" s="534"/>
      <c r="E27" s="172" t="s">
        <v>16</v>
      </c>
      <c r="F27" s="534"/>
      <c r="G27" s="534"/>
      <c r="H27" s="172" t="s">
        <v>16</v>
      </c>
      <c r="I27" s="199"/>
      <c r="J27" s="199"/>
    </row>
    <row r="28" spans="1:10" x14ac:dyDescent="0.25">
      <c r="A28" s="444" t="s">
        <v>18</v>
      </c>
      <c r="B28" s="444"/>
      <c r="C28" s="534"/>
      <c r="D28" s="534"/>
      <c r="E28" s="172" t="s">
        <v>16</v>
      </c>
      <c r="F28" s="534"/>
      <c r="G28" s="534"/>
      <c r="H28" s="172" t="s">
        <v>16</v>
      </c>
      <c r="I28" s="199"/>
      <c r="J28" s="199"/>
    </row>
    <row r="29" spans="1:10" x14ac:dyDescent="0.25">
      <c r="A29" s="444" t="s">
        <v>19</v>
      </c>
      <c r="B29" s="444"/>
      <c r="C29" s="534"/>
      <c r="D29" s="534"/>
      <c r="E29" s="172" t="s">
        <v>16</v>
      </c>
      <c r="F29" s="534"/>
      <c r="G29" s="534"/>
      <c r="H29" s="172" t="s">
        <v>16</v>
      </c>
      <c r="I29" s="199"/>
      <c r="J29" s="199"/>
    </row>
    <row r="30" spans="1:10" x14ac:dyDescent="0.25">
      <c r="A30" s="535" t="s">
        <v>20</v>
      </c>
      <c r="B30" s="535"/>
      <c r="C30" s="567"/>
      <c r="D30" s="567"/>
      <c r="E30" s="172" t="s">
        <v>16</v>
      </c>
      <c r="F30" s="567"/>
      <c r="G30" s="567"/>
      <c r="H30" s="172" t="s">
        <v>16</v>
      </c>
      <c r="I30" s="173"/>
      <c r="J30" s="173"/>
    </row>
    <row r="31" spans="1:10" x14ac:dyDescent="0.25">
      <c r="A31" s="447" t="s">
        <v>353</v>
      </c>
      <c r="B31" s="449"/>
      <c r="C31" s="534"/>
      <c r="D31" s="534"/>
      <c r="E31" s="534"/>
      <c r="F31" s="534"/>
      <c r="G31" s="534"/>
      <c r="H31" s="534"/>
      <c r="I31" s="199"/>
      <c r="J31" s="199"/>
    </row>
    <row r="32" spans="1:10" x14ac:dyDescent="0.25">
      <c r="A32" s="447" t="s">
        <v>353</v>
      </c>
      <c r="B32" s="449"/>
      <c r="C32" s="534"/>
      <c r="D32" s="534"/>
      <c r="E32" s="534"/>
      <c r="F32" s="534"/>
      <c r="G32" s="534"/>
      <c r="H32" s="534"/>
      <c r="I32" s="199"/>
      <c r="J32" s="199"/>
    </row>
    <row r="33" spans="1:10" x14ac:dyDescent="0.25">
      <c r="A33" s="447" t="s">
        <v>353</v>
      </c>
      <c r="B33" s="449"/>
      <c r="C33" s="534"/>
      <c r="D33" s="534"/>
      <c r="E33" s="534"/>
      <c r="F33" s="534"/>
      <c r="G33" s="534"/>
      <c r="H33" s="534"/>
      <c r="I33" s="199"/>
      <c r="J33" s="199"/>
    </row>
    <row r="34" spans="1:10" x14ac:dyDescent="0.25">
      <c r="A34" s="447" t="s">
        <v>353</v>
      </c>
      <c r="B34" s="449"/>
      <c r="C34" s="534"/>
      <c r="D34" s="534"/>
      <c r="E34" s="534"/>
      <c r="F34" s="534"/>
      <c r="G34" s="534"/>
      <c r="H34" s="534"/>
      <c r="I34" s="199"/>
      <c r="J34" s="199"/>
    </row>
  </sheetData>
  <sheetProtection password="C5B9" sheet="1" objects="1" scenarios="1"/>
  <dataConsolidate/>
  <mergeCells count="92">
    <mergeCell ref="A34:B34"/>
    <mergeCell ref="C34:E34"/>
    <mergeCell ref="F34:H34"/>
    <mergeCell ref="A32:B32"/>
    <mergeCell ref="C32:E32"/>
    <mergeCell ref="F32:H32"/>
    <mergeCell ref="A33:B33"/>
    <mergeCell ref="C33:E33"/>
    <mergeCell ref="F33:H33"/>
    <mergeCell ref="A30:B30"/>
    <mergeCell ref="C30:D30"/>
    <mergeCell ref="F30:G30"/>
    <mergeCell ref="A31:B31"/>
    <mergeCell ref="C31:E31"/>
    <mergeCell ref="F31:H31"/>
    <mergeCell ref="A28:B28"/>
    <mergeCell ref="C28:D28"/>
    <mergeCell ref="F28:G28"/>
    <mergeCell ref="A29:B29"/>
    <mergeCell ref="C29:D29"/>
    <mergeCell ref="F29:G29"/>
    <mergeCell ref="A26:B26"/>
    <mergeCell ref="C26:D26"/>
    <mergeCell ref="F26:G26"/>
    <mergeCell ref="A27:B27"/>
    <mergeCell ref="C27:D27"/>
    <mergeCell ref="F27:G27"/>
    <mergeCell ref="A24:B24"/>
    <mergeCell ref="C24:E24"/>
    <mergeCell ref="F24:H24"/>
    <mergeCell ref="A25:B25"/>
    <mergeCell ref="C25:E25"/>
    <mergeCell ref="F25:H25"/>
    <mergeCell ref="A20:B20"/>
    <mergeCell ref="C20:E20"/>
    <mergeCell ref="F20:H20"/>
    <mergeCell ref="A21:B23"/>
    <mergeCell ref="C21:D21"/>
    <mergeCell ref="F21:G21"/>
    <mergeCell ref="C22:D22"/>
    <mergeCell ref="F22:G22"/>
    <mergeCell ref="C23:D23"/>
    <mergeCell ref="F23:G23"/>
    <mergeCell ref="A18:B18"/>
    <mergeCell ref="C18:D18"/>
    <mergeCell ref="F18:G18"/>
    <mergeCell ref="A19:B19"/>
    <mergeCell ref="C19:D19"/>
    <mergeCell ref="F19:G19"/>
    <mergeCell ref="A16:B16"/>
    <mergeCell ref="C16:D16"/>
    <mergeCell ref="F16:G16"/>
    <mergeCell ref="A17:B17"/>
    <mergeCell ref="C17:E17"/>
    <mergeCell ref="F17:H17"/>
    <mergeCell ref="A14:B14"/>
    <mergeCell ref="C14:D14"/>
    <mergeCell ref="F14:G14"/>
    <mergeCell ref="A15:B15"/>
    <mergeCell ref="C15:D15"/>
    <mergeCell ref="F15:G15"/>
    <mergeCell ref="A12:B12"/>
    <mergeCell ref="C12:D12"/>
    <mergeCell ref="F12:G12"/>
    <mergeCell ref="A13:B13"/>
    <mergeCell ref="C13:D13"/>
    <mergeCell ref="F13:G13"/>
    <mergeCell ref="A10:B10"/>
    <mergeCell ref="C10:D10"/>
    <mergeCell ref="F10:G10"/>
    <mergeCell ref="A11:B11"/>
    <mergeCell ref="C11:D11"/>
    <mergeCell ref="F11:G11"/>
    <mergeCell ref="A8:B8"/>
    <mergeCell ref="C8:E8"/>
    <mergeCell ref="F8:H8"/>
    <mergeCell ref="A9:B9"/>
    <mergeCell ref="C9:E9"/>
    <mergeCell ref="F9:H9"/>
    <mergeCell ref="A5:B7"/>
    <mergeCell ref="C5:E5"/>
    <mergeCell ref="F5:H7"/>
    <mergeCell ref="I5:I7"/>
    <mergeCell ref="J5:J7"/>
    <mergeCell ref="C6:E6"/>
    <mergeCell ref="C7:E7"/>
    <mergeCell ref="A2:J2"/>
    <mergeCell ref="A3:B4"/>
    <mergeCell ref="C3:E3"/>
    <mergeCell ref="F3:J3"/>
    <mergeCell ref="C4:D4"/>
    <mergeCell ref="F4:G4"/>
  </mergeCells>
  <dataValidations count="2">
    <dataValidation type="list" allowBlank="1" showInputMessage="1" showErrorMessage="1" sqref="H16">
      <formula1>$O$4:$O$10</formula1>
    </dataValidation>
    <dataValidation type="list" allowBlank="1" showInputMessage="1" showErrorMessage="1" sqref="C20:H20">
      <formula1>Yes_No</formula1>
    </dataValidation>
  </dataValidations>
  <pageMargins left="0.7" right="0.7" top="0.75" bottom="0.75" header="0.3" footer="0.3"/>
  <pageSetup scale="76" orientation="portrait" r:id="rId1"/>
  <headerFooter>
    <oddHeader>&amp;L&amp;G&amp;C&amp;G</oddHeader>
    <oddFooter>&amp;RNovember 2016</oddFooter>
  </headerFooter>
  <colBreaks count="1" manualBreakCount="1">
    <brk id="10" max="1048575" man="1"/>
  </colBreaks>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promptTitle="ECB System Selection" prompt="Only select a system with ECB compliance path is selected.">
          <x14:formula1>
            <xm:f>Lists!$A$48:$A$58</xm:f>
          </x14:formula1>
          <xm:sqref>C7:E7</xm:sqref>
        </x14:dataValidation>
        <x14:dataValidation type="list" allowBlank="1" showInputMessage="1" showErrorMessage="1" promptTitle="Appendix G System Selection" prompt="Only select a system when Appendix G is used for compliance_x000a_">
          <x14:formula1>
            <xm:f>Lists!$A$67:$A$75</xm:f>
          </x14:formula1>
          <xm:sqref>C5:E5</xm:sqref>
        </x14:dataValidation>
        <x14:dataValidation type="list" allowBlank="1" showInputMessage="1" showErrorMessage="1">
          <x14:formula1>
            <xm:f>Lists!$S$4:$S$8</xm:f>
          </x14:formula1>
          <xm:sqref>E16</xm:sqref>
        </x14:dataValidation>
        <x14:dataValidation type="list" allowBlank="1" showInputMessage="1" showErrorMessage="1">
          <x14:formula1>
            <xm:f>Lists!$S$4:$S$7</xm:f>
          </x14:formula1>
          <xm:sqref>H15 E15</xm:sqref>
        </x14:dataValidation>
        <x14:dataValidation type="list" allowBlank="1" showInputMessage="1" showErrorMessage="1">
          <x14:formula1>
            <xm:f>Lists!$P$1:$P$2</xm:f>
          </x14:formula1>
          <xm:sqref>H14 E14</xm:sqref>
        </x14:dataValidation>
        <x14:dataValidation type="list" allowBlank="1" showInputMessage="1" showErrorMessage="1">
          <x14:formula1>
            <xm:f>Lists!$R$4:$R$5</xm:f>
          </x14:formula1>
          <xm:sqref>H12 E12</xm:sqref>
        </x14:dataValidation>
        <x14:dataValidation type="list" allowBlank="1" showInputMessage="1" showErrorMessage="1">
          <x14:formula1>
            <xm:f>Lists!$Q$4:$Q$7</xm:f>
          </x14:formula1>
          <xm:sqref>E10:E11 H10:H11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0"/>
  <sheetViews>
    <sheetView workbookViewId="0">
      <selection activeCell="J31" sqref="J31"/>
    </sheetView>
  </sheetViews>
  <sheetFormatPr defaultRowHeight="15" x14ac:dyDescent="0.25"/>
  <cols>
    <col min="1" max="1" width="12.7109375" customWidth="1"/>
    <col min="7" max="7" width="9.7109375" customWidth="1"/>
  </cols>
  <sheetData>
    <row r="1" spans="1:15" x14ac:dyDescent="0.25">
      <c r="A1" s="380" t="s">
        <v>619</v>
      </c>
      <c r="B1" s="374" t="s">
        <v>620</v>
      </c>
      <c r="C1" s="374"/>
      <c r="D1" s="374"/>
      <c r="E1" s="374" t="s">
        <v>625</v>
      </c>
      <c r="F1" s="374"/>
      <c r="G1" s="374"/>
      <c r="H1" s="383" t="s">
        <v>680</v>
      </c>
      <c r="I1" s="383"/>
      <c r="J1" s="374" t="s">
        <v>627</v>
      </c>
      <c r="K1" s="374"/>
      <c r="L1" s="374"/>
      <c r="M1" s="374"/>
      <c r="N1" s="374"/>
      <c r="O1" s="374"/>
    </row>
    <row r="2" spans="1:15" x14ac:dyDescent="0.25">
      <c r="A2" s="380"/>
      <c r="B2" s="374" t="s">
        <v>621</v>
      </c>
      <c r="C2" s="374"/>
      <c r="D2" s="374"/>
      <c r="E2" s="374" t="s">
        <v>621</v>
      </c>
      <c r="F2" s="374"/>
      <c r="G2" s="374"/>
      <c r="H2" s="383"/>
      <c r="I2" s="383"/>
      <c r="J2" s="374" t="s">
        <v>621</v>
      </c>
      <c r="K2" s="374"/>
      <c r="L2" s="374"/>
      <c r="M2" s="374"/>
      <c r="N2" s="374"/>
      <c r="O2" s="374"/>
    </row>
    <row r="3" spans="1:15" x14ac:dyDescent="0.25">
      <c r="A3" s="380"/>
      <c r="B3" t="s">
        <v>622</v>
      </c>
      <c r="C3" t="s">
        <v>623</v>
      </c>
      <c r="D3" t="s">
        <v>624</v>
      </c>
      <c r="E3" t="s">
        <v>622</v>
      </c>
      <c r="F3" t="s">
        <v>623</v>
      </c>
      <c r="G3" t="s">
        <v>624</v>
      </c>
      <c r="H3" t="s">
        <v>681</v>
      </c>
      <c r="I3" t="s">
        <v>682</v>
      </c>
      <c r="J3" t="s">
        <v>622</v>
      </c>
      <c r="K3" t="s">
        <v>623</v>
      </c>
      <c r="L3" t="s">
        <v>624</v>
      </c>
    </row>
    <row r="4" spans="1:15" x14ac:dyDescent="0.25">
      <c r="A4" t="s">
        <v>629</v>
      </c>
      <c r="B4">
        <v>1.6</v>
      </c>
      <c r="C4">
        <v>1.6</v>
      </c>
      <c r="D4">
        <v>1.6</v>
      </c>
      <c r="E4">
        <v>5</v>
      </c>
      <c r="F4">
        <v>5</v>
      </c>
      <c r="G4">
        <v>5</v>
      </c>
      <c r="H4">
        <v>70</v>
      </c>
      <c r="I4">
        <v>78</v>
      </c>
      <c r="J4">
        <v>5</v>
      </c>
      <c r="K4">
        <v>5</v>
      </c>
      <c r="L4">
        <v>5</v>
      </c>
    </row>
    <row r="5" spans="1:15" x14ac:dyDescent="0.25">
      <c r="A5" t="s">
        <v>630</v>
      </c>
      <c r="B5">
        <v>1.6</v>
      </c>
      <c r="C5">
        <v>1.6</v>
      </c>
      <c r="D5">
        <v>1.6</v>
      </c>
      <c r="E5">
        <v>5</v>
      </c>
      <c r="F5">
        <v>5</v>
      </c>
      <c r="G5">
        <v>5</v>
      </c>
      <c r="H5">
        <v>70</v>
      </c>
      <c r="I5">
        <v>78</v>
      </c>
      <c r="J5">
        <v>5</v>
      </c>
      <c r="K5">
        <v>5</v>
      </c>
      <c r="L5">
        <v>5</v>
      </c>
    </row>
    <row r="6" spans="1:15" x14ac:dyDescent="0.25">
      <c r="A6" t="s">
        <v>631</v>
      </c>
      <c r="B6">
        <v>1.6</v>
      </c>
      <c r="C6">
        <v>1.6</v>
      </c>
      <c r="D6">
        <v>1.6</v>
      </c>
      <c r="E6">
        <v>5</v>
      </c>
      <c r="F6">
        <v>5</v>
      </c>
      <c r="G6">
        <v>5</v>
      </c>
      <c r="H6">
        <v>70</v>
      </c>
      <c r="I6">
        <v>78</v>
      </c>
      <c r="J6">
        <v>5</v>
      </c>
      <c r="K6">
        <v>5</v>
      </c>
      <c r="L6">
        <v>5</v>
      </c>
    </row>
    <row r="7" spans="1:15" x14ac:dyDescent="0.25">
      <c r="A7" t="s">
        <v>632</v>
      </c>
      <c r="B7">
        <v>1.6</v>
      </c>
      <c r="C7">
        <v>1.6</v>
      </c>
      <c r="D7">
        <v>1.6</v>
      </c>
      <c r="E7">
        <v>5</v>
      </c>
      <c r="F7">
        <v>5</v>
      </c>
      <c r="G7">
        <v>5</v>
      </c>
      <c r="H7">
        <v>70</v>
      </c>
      <c r="I7">
        <v>78</v>
      </c>
      <c r="J7">
        <v>5</v>
      </c>
      <c r="K7">
        <v>5</v>
      </c>
      <c r="L7">
        <v>5</v>
      </c>
    </row>
    <row r="8" spans="1:15" x14ac:dyDescent="0.25">
      <c r="A8" t="s">
        <v>633</v>
      </c>
      <c r="B8">
        <v>1.6</v>
      </c>
      <c r="C8">
        <v>1.6</v>
      </c>
      <c r="D8">
        <v>1.6</v>
      </c>
      <c r="E8">
        <v>5</v>
      </c>
      <c r="F8">
        <v>5</v>
      </c>
      <c r="G8">
        <v>5</v>
      </c>
      <c r="H8">
        <v>70</v>
      </c>
      <c r="I8">
        <v>78</v>
      </c>
      <c r="J8">
        <v>5</v>
      </c>
      <c r="K8">
        <v>5</v>
      </c>
      <c r="L8">
        <v>5</v>
      </c>
    </row>
    <row r="9" spans="1:15" x14ac:dyDescent="0.25">
      <c r="A9" t="s">
        <v>634</v>
      </c>
      <c r="B9">
        <v>1.6</v>
      </c>
      <c r="C9">
        <v>1.6</v>
      </c>
      <c r="D9">
        <v>1.6</v>
      </c>
      <c r="E9">
        <v>5</v>
      </c>
      <c r="F9">
        <v>5</v>
      </c>
      <c r="G9">
        <v>5</v>
      </c>
      <c r="H9">
        <v>70</v>
      </c>
      <c r="I9">
        <v>78</v>
      </c>
      <c r="J9">
        <v>5</v>
      </c>
      <c r="K9">
        <v>5</v>
      </c>
      <c r="L9">
        <v>5</v>
      </c>
    </row>
    <row r="10" spans="1:15" x14ac:dyDescent="0.25">
      <c r="A10" t="s">
        <v>635</v>
      </c>
      <c r="B10">
        <v>7.7</v>
      </c>
      <c r="C10">
        <v>7.7</v>
      </c>
      <c r="D10">
        <v>7.7</v>
      </c>
      <c r="E10">
        <v>5</v>
      </c>
      <c r="F10">
        <v>5</v>
      </c>
      <c r="G10">
        <v>5</v>
      </c>
      <c r="H10">
        <v>72</v>
      </c>
      <c r="I10">
        <v>78</v>
      </c>
      <c r="J10">
        <v>30</v>
      </c>
      <c r="K10">
        <v>30</v>
      </c>
      <c r="L10">
        <v>30</v>
      </c>
    </row>
    <row r="11" spans="1:15" x14ac:dyDescent="0.25">
      <c r="A11" t="s">
        <v>636</v>
      </c>
      <c r="B11">
        <v>14</v>
      </c>
      <c r="C11">
        <v>14</v>
      </c>
      <c r="D11">
        <v>14</v>
      </c>
      <c r="E11">
        <v>5</v>
      </c>
      <c r="F11">
        <v>5</v>
      </c>
      <c r="G11">
        <v>5</v>
      </c>
      <c r="H11">
        <v>72</v>
      </c>
      <c r="I11">
        <v>78</v>
      </c>
      <c r="J11">
        <v>50</v>
      </c>
      <c r="K11">
        <v>50</v>
      </c>
      <c r="L11">
        <v>50</v>
      </c>
    </row>
    <row r="12" spans="1:15" x14ac:dyDescent="0.25">
      <c r="A12" t="s">
        <v>637</v>
      </c>
      <c r="B12">
        <v>14</v>
      </c>
      <c r="C12">
        <v>14</v>
      </c>
      <c r="D12">
        <v>14</v>
      </c>
      <c r="E12">
        <v>50</v>
      </c>
      <c r="F12">
        <v>50</v>
      </c>
      <c r="G12">
        <v>50</v>
      </c>
      <c r="H12">
        <v>72</v>
      </c>
      <c r="I12">
        <v>78</v>
      </c>
      <c r="J12">
        <v>40</v>
      </c>
      <c r="K12">
        <v>40</v>
      </c>
      <c r="L12">
        <v>40</v>
      </c>
    </row>
    <row r="13" spans="1:15" x14ac:dyDescent="0.25">
      <c r="A13" t="s">
        <v>638</v>
      </c>
      <c r="B13">
        <v>10.8</v>
      </c>
      <c r="C13">
        <v>10.8</v>
      </c>
      <c r="D13">
        <v>10.8</v>
      </c>
      <c r="E13">
        <v>50</v>
      </c>
      <c r="F13">
        <v>50</v>
      </c>
      <c r="G13">
        <v>50</v>
      </c>
      <c r="H13">
        <v>72</v>
      </c>
      <c r="I13">
        <v>80</v>
      </c>
      <c r="J13">
        <v>30</v>
      </c>
      <c r="K13">
        <v>30</v>
      </c>
      <c r="L13">
        <v>30</v>
      </c>
    </row>
    <row r="14" spans="1:15" x14ac:dyDescent="0.25">
      <c r="A14" t="s">
        <v>639</v>
      </c>
      <c r="B14">
        <v>10.8</v>
      </c>
      <c r="C14">
        <v>10.8</v>
      </c>
      <c r="D14">
        <v>10.8</v>
      </c>
      <c r="E14">
        <v>50</v>
      </c>
      <c r="F14">
        <v>50</v>
      </c>
      <c r="G14">
        <v>50</v>
      </c>
      <c r="H14">
        <v>72</v>
      </c>
      <c r="I14">
        <v>80</v>
      </c>
      <c r="J14">
        <v>30</v>
      </c>
      <c r="K14">
        <v>30</v>
      </c>
      <c r="L14">
        <v>30</v>
      </c>
    </row>
    <row r="15" spans="1:15" x14ac:dyDescent="0.25">
      <c r="A15" t="s">
        <v>640</v>
      </c>
      <c r="B15">
        <v>10.8</v>
      </c>
      <c r="C15">
        <v>10.8</v>
      </c>
      <c r="D15">
        <v>10.8</v>
      </c>
      <c r="E15">
        <v>50</v>
      </c>
      <c r="F15">
        <v>50</v>
      </c>
      <c r="G15">
        <v>50</v>
      </c>
      <c r="H15">
        <v>72</v>
      </c>
      <c r="I15">
        <v>80</v>
      </c>
      <c r="J15">
        <v>35</v>
      </c>
      <c r="K15">
        <v>35</v>
      </c>
      <c r="L15">
        <v>35</v>
      </c>
    </row>
    <row r="16" spans="1:15" x14ac:dyDescent="0.25">
      <c r="A16" t="s">
        <v>641</v>
      </c>
      <c r="B16">
        <v>7.7</v>
      </c>
      <c r="C16">
        <v>7.7</v>
      </c>
      <c r="D16">
        <v>7.7</v>
      </c>
      <c r="E16">
        <v>30</v>
      </c>
      <c r="F16">
        <v>30</v>
      </c>
      <c r="G16">
        <v>30</v>
      </c>
      <c r="H16">
        <v>72</v>
      </c>
      <c r="I16">
        <v>80</v>
      </c>
      <c r="J16">
        <v>40</v>
      </c>
      <c r="K16">
        <v>40</v>
      </c>
      <c r="L16">
        <v>40</v>
      </c>
    </row>
    <row r="17" spans="1:12" x14ac:dyDescent="0.25">
      <c r="A17" t="s">
        <v>642</v>
      </c>
      <c r="B17">
        <v>7.7</v>
      </c>
      <c r="C17">
        <v>7.7</v>
      </c>
      <c r="D17">
        <v>7.7</v>
      </c>
      <c r="E17">
        <v>50</v>
      </c>
      <c r="F17">
        <v>50</v>
      </c>
      <c r="G17">
        <v>50</v>
      </c>
      <c r="H17">
        <v>72</v>
      </c>
      <c r="I17">
        <v>80</v>
      </c>
      <c r="J17">
        <v>35</v>
      </c>
      <c r="K17">
        <v>35</v>
      </c>
      <c r="L17">
        <v>35</v>
      </c>
    </row>
    <row r="18" spans="1:12" x14ac:dyDescent="0.25">
      <c r="A18" t="s">
        <v>643</v>
      </c>
      <c r="B18">
        <v>7.7</v>
      </c>
      <c r="C18">
        <v>7.7</v>
      </c>
      <c r="D18">
        <v>7.7</v>
      </c>
      <c r="E18">
        <v>50</v>
      </c>
      <c r="F18">
        <v>50</v>
      </c>
      <c r="G18">
        <v>50</v>
      </c>
      <c r="H18">
        <v>72</v>
      </c>
      <c r="I18">
        <v>80</v>
      </c>
      <c r="J18">
        <v>35</v>
      </c>
      <c r="K18">
        <v>35</v>
      </c>
      <c r="L18">
        <v>35</v>
      </c>
    </row>
    <row r="19" spans="1:12" x14ac:dyDescent="0.25">
      <c r="A19" t="s">
        <v>644</v>
      </c>
      <c r="B19">
        <v>7.7</v>
      </c>
      <c r="C19">
        <v>7.7</v>
      </c>
      <c r="D19">
        <v>7.7</v>
      </c>
      <c r="E19">
        <v>50</v>
      </c>
      <c r="F19">
        <v>50</v>
      </c>
      <c r="G19">
        <v>50</v>
      </c>
      <c r="H19">
        <v>72</v>
      </c>
      <c r="I19">
        <v>78</v>
      </c>
      <c r="J19">
        <v>30</v>
      </c>
      <c r="K19">
        <v>30</v>
      </c>
      <c r="L19">
        <v>30</v>
      </c>
    </row>
    <row r="20" spans="1:12" x14ac:dyDescent="0.25">
      <c r="A20" t="s">
        <v>645</v>
      </c>
      <c r="B20">
        <v>7.7</v>
      </c>
      <c r="C20">
        <v>7.7</v>
      </c>
      <c r="D20">
        <v>7.7</v>
      </c>
      <c r="E20">
        <v>50</v>
      </c>
      <c r="F20">
        <v>50</v>
      </c>
      <c r="G20">
        <v>50</v>
      </c>
      <c r="H20">
        <v>72</v>
      </c>
      <c r="I20">
        <v>78</v>
      </c>
      <c r="J20">
        <v>30</v>
      </c>
      <c r="K20">
        <v>30</v>
      </c>
      <c r="L20">
        <v>30</v>
      </c>
    </row>
    <row r="21" spans="1:12" x14ac:dyDescent="0.25">
      <c r="A21" t="s">
        <v>646</v>
      </c>
      <c r="B21">
        <v>10.8</v>
      </c>
      <c r="C21">
        <v>10.8</v>
      </c>
      <c r="D21">
        <v>10.8</v>
      </c>
      <c r="E21">
        <v>50</v>
      </c>
      <c r="F21">
        <v>50</v>
      </c>
      <c r="G21">
        <v>50</v>
      </c>
      <c r="H21">
        <v>72</v>
      </c>
      <c r="I21">
        <v>78</v>
      </c>
      <c r="J21">
        <v>50</v>
      </c>
      <c r="K21">
        <v>50</v>
      </c>
      <c r="L21">
        <v>50</v>
      </c>
    </row>
    <row r="22" spans="1:12" x14ac:dyDescent="0.25">
      <c r="A22" t="s">
        <v>647</v>
      </c>
      <c r="B22">
        <v>21.7</v>
      </c>
      <c r="C22">
        <v>21.7</v>
      </c>
      <c r="D22">
        <v>21.7</v>
      </c>
      <c r="E22">
        <v>35</v>
      </c>
      <c r="F22">
        <v>35</v>
      </c>
      <c r="G22">
        <v>35</v>
      </c>
      <c r="H22">
        <v>72</v>
      </c>
      <c r="I22">
        <v>78</v>
      </c>
      <c r="J22">
        <v>50</v>
      </c>
      <c r="K22">
        <v>50</v>
      </c>
      <c r="L22">
        <v>50</v>
      </c>
    </row>
    <row r="23" spans="1:12" x14ac:dyDescent="0.25">
      <c r="A23" t="s">
        <v>648</v>
      </c>
      <c r="B23">
        <v>21.7</v>
      </c>
      <c r="C23">
        <v>21.7</v>
      </c>
      <c r="D23">
        <v>21.7</v>
      </c>
      <c r="E23">
        <v>5</v>
      </c>
      <c r="F23">
        <v>5</v>
      </c>
      <c r="G23">
        <v>5</v>
      </c>
      <c r="H23">
        <v>72</v>
      </c>
      <c r="I23">
        <v>78</v>
      </c>
      <c r="J23">
        <v>40</v>
      </c>
      <c r="K23">
        <v>40</v>
      </c>
      <c r="L23">
        <v>40</v>
      </c>
    </row>
    <row r="24" spans="1:12" x14ac:dyDescent="0.25">
      <c r="A24" t="s">
        <v>649</v>
      </c>
      <c r="B24">
        <v>21.7</v>
      </c>
      <c r="C24">
        <v>21.7</v>
      </c>
      <c r="D24">
        <v>21.7</v>
      </c>
      <c r="E24">
        <v>5</v>
      </c>
      <c r="F24">
        <v>5</v>
      </c>
      <c r="G24">
        <v>5</v>
      </c>
      <c r="H24">
        <v>72</v>
      </c>
      <c r="I24">
        <v>78</v>
      </c>
      <c r="J24">
        <v>35</v>
      </c>
      <c r="K24">
        <v>35</v>
      </c>
      <c r="L24">
        <v>35</v>
      </c>
    </row>
    <row r="25" spans="1:12" x14ac:dyDescent="0.25">
      <c r="A25" t="s">
        <v>650</v>
      </c>
      <c r="B25">
        <v>21.7</v>
      </c>
      <c r="C25">
        <v>21.7</v>
      </c>
      <c r="D25">
        <v>21.7</v>
      </c>
      <c r="E25">
        <v>5</v>
      </c>
      <c r="F25">
        <v>5</v>
      </c>
      <c r="G25">
        <v>5</v>
      </c>
      <c r="H25">
        <v>72</v>
      </c>
      <c r="I25">
        <v>78</v>
      </c>
      <c r="J25">
        <v>45</v>
      </c>
      <c r="K25">
        <v>45</v>
      </c>
      <c r="L25">
        <v>45</v>
      </c>
    </row>
    <row r="26" spans="1:12" x14ac:dyDescent="0.25">
      <c r="A26" t="s">
        <v>651</v>
      </c>
      <c r="B26">
        <v>18.600000000000001</v>
      </c>
      <c r="C26">
        <v>18.600000000000001</v>
      </c>
      <c r="D26">
        <v>18.600000000000001</v>
      </c>
      <c r="E26">
        <v>5</v>
      </c>
      <c r="F26">
        <v>5</v>
      </c>
      <c r="G26">
        <v>5</v>
      </c>
      <c r="H26">
        <v>72</v>
      </c>
      <c r="I26">
        <v>78</v>
      </c>
      <c r="J26">
        <v>30</v>
      </c>
      <c r="K26">
        <v>30</v>
      </c>
      <c r="L26">
        <v>30</v>
      </c>
    </row>
    <row r="27" spans="1:12" x14ac:dyDescent="0.25">
      <c r="A27" t="s">
        <v>652</v>
      </c>
      <c r="B27">
        <v>1.6</v>
      </c>
      <c r="C27">
        <v>1.6</v>
      </c>
      <c r="D27">
        <v>1.6</v>
      </c>
      <c r="E27">
        <v>5</v>
      </c>
      <c r="F27">
        <v>5</v>
      </c>
      <c r="G27">
        <v>5</v>
      </c>
      <c r="H27">
        <v>70</v>
      </c>
      <c r="I27">
        <v>78</v>
      </c>
      <c r="J27">
        <v>5</v>
      </c>
      <c r="K27">
        <v>5</v>
      </c>
      <c r="L27">
        <v>5</v>
      </c>
    </row>
    <row r="28" spans="1:12" x14ac:dyDescent="0.25">
      <c r="A28" t="s">
        <v>659</v>
      </c>
      <c r="B28">
        <f>SUM(B4:B27)</f>
        <v>233.99999999999994</v>
      </c>
      <c r="C28">
        <f t="shared" ref="C28:L28" si="0">SUM(C4:C27)</f>
        <v>233.99999999999994</v>
      </c>
      <c r="D28">
        <f t="shared" si="0"/>
        <v>233.99999999999994</v>
      </c>
      <c r="E28">
        <f>SUM(E4:E27)</f>
        <v>580</v>
      </c>
      <c r="F28">
        <f t="shared" ref="F28" si="1">SUM(F4:F27)</f>
        <v>580</v>
      </c>
      <c r="G28">
        <f t="shared" ref="G28" si="2">SUM(G4:G27)</f>
        <v>580</v>
      </c>
      <c r="J28">
        <f t="shared" si="0"/>
        <v>670</v>
      </c>
      <c r="K28">
        <f t="shared" si="0"/>
        <v>670</v>
      </c>
      <c r="L28">
        <f t="shared" si="0"/>
        <v>670</v>
      </c>
    </row>
    <row r="29" spans="1:12" x14ac:dyDescent="0.25">
      <c r="A29" t="s">
        <v>660</v>
      </c>
      <c r="B29">
        <f>((B28/100)*5+C28/100+D28/100)</f>
        <v>16.379999999999995</v>
      </c>
      <c r="E29">
        <f>((E28/100)*5+F28/100+G28/100)</f>
        <v>40.599999999999994</v>
      </c>
      <c r="J29">
        <f t="shared" ref="J29" si="3">((J28/100)*5+K28/100+L28/100)</f>
        <v>46.900000000000006</v>
      </c>
    </row>
    <row r="30" spans="1:12" x14ac:dyDescent="0.25">
      <c r="A30" t="s">
        <v>661</v>
      </c>
      <c r="B30">
        <f>B29*52.14</f>
        <v>854.05319999999972</v>
      </c>
      <c r="E30">
        <f>E29*52.14</f>
        <v>2116.8839999999996</v>
      </c>
      <c r="J30">
        <f t="shared" ref="J30" si="4">J29*52.14</f>
        <v>2445.3660000000004</v>
      </c>
    </row>
  </sheetData>
  <mergeCells count="10">
    <mergeCell ref="M1:O1"/>
    <mergeCell ref="B2:D2"/>
    <mergeCell ref="E2:G2"/>
    <mergeCell ref="J2:L2"/>
    <mergeCell ref="M2:O2"/>
    <mergeCell ref="A1:A3"/>
    <mergeCell ref="B1:D1"/>
    <mergeCell ref="E1:G1"/>
    <mergeCell ref="H1:I2"/>
    <mergeCell ref="J1:L1"/>
  </mergeCells>
  <dataValidations count="1">
    <dataValidation type="decimal" errorStyle="warning" allowBlank="1" showErrorMessage="1" error="Enter a percentage value between 0% and 100%" sqref="E4:G27">
      <formula1>0</formula1>
      <formula2>1</formula2>
    </dataValidation>
  </dataValidation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B2:H26"/>
  <sheetViews>
    <sheetView topLeftCell="C10" zoomScale="150" zoomScaleNormal="150" zoomScaleSheetLayoutView="115" workbookViewId="0">
      <selection activeCell="E11" sqref="E11:F11"/>
    </sheetView>
  </sheetViews>
  <sheetFormatPr defaultRowHeight="15" x14ac:dyDescent="0.25"/>
  <cols>
    <col min="1" max="1" width="3.28515625" customWidth="1"/>
    <col min="2" max="2" width="21.7109375" customWidth="1"/>
    <col min="3" max="3" width="26.5703125" customWidth="1"/>
    <col min="4" max="4" width="7.42578125" customWidth="1"/>
    <col min="5" max="5" width="22.85546875" customWidth="1"/>
    <col min="6" max="6" width="6.85546875" customWidth="1"/>
    <col min="7" max="8" width="13.140625" customWidth="1"/>
  </cols>
  <sheetData>
    <row r="2" spans="2:8" ht="17.25" customHeight="1" x14ac:dyDescent="0.25">
      <c r="B2" s="473" t="s">
        <v>91</v>
      </c>
      <c r="C2" s="474"/>
      <c r="D2" s="474"/>
      <c r="E2" s="474"/>
      <c r="F2" s="474"/>
      <c r="G2" s="474"/>
      <c r="H2" s="476"/>
    </row>
    <row r="3" spans="2:8" ht="26.25" customHeight="1" x14ac:dyDescent="0.25">
      <c r="B3" s="62" t="s">
        <v>0</v>
      </c>
      <c r="C3" s="435" t="s">
        <v>374</v>
      </c>
      <c r="D3" s="435"/>
      <c r="E3" s="435" t="s">
        <v>375</v>
      </c>
      <c r="F3" s="435"/>
      <c r="G3" s="435"/>
      <c r="H3" s="46"/>
    </row>
    <row r="4" spans="2:8" ht="31.5" customHeight="1" x14ac:dyDescent="0.25">
      <c r="B4" s="61"/>
      <c r="C4" s="46" t="s">
        <v>1</v>
      </c>
      <c r="D4" s="44" t="s">
        <v>2</v>
      </c>
      <c r="E4" s="63" t="s">
        <v>1</v>
      </c>
      <c r="F4" s="44" t="s">
        <v>2</v>
      </c>
      <c r="G4" s="46" t="s">
        <v>21</v>
      </c>
      <c r="H4" s="46" t="s">
        <v>123</v>
      </c>
    </row>
    <row r="5" spans="2:8" ht="33.75" customHeight="1" x14ac:dyDescent="0.25">
      <c r="B5" s="46" t="s">
        <v>373</v>
      </c>
      <c r="C5" s="534"/>
      <c r="D5" s="534"/>
      <c r="E5" s="534" t="s">
        <v>849</v>
      </c>
      <c r="F5" s="534"/>
      <c r="G5" s="153"/>
      <c r="H5" s="153"/>
    </row>
    <row r="6" spans="2:8" ht="24" customHeight="1" x14ac:dyDescent="0.25">
      <c r="B6" s="44" t="s">
        <v>25</v>
      </c>
      <c r="C6" s="153"/>
      <c r="D6" s="153"/>
      <c r="E6" s="170"/>
      <c r="F6" s="153"/>
      <c r="G6" s="153"/>
      <c r="H6" s="153"/>
    </row>
    <row r="7" spans="2:8" ht="22.5" customHeight="1" x14ac:dyDescent="0.25">
      <c r="B7" s="44" t="s">
        <v>27</v>
      </c>
      <c r="C7" s="153"/>
      <c r="D7" s="153"/>
      <c r="E7" s="170">
        <v>1.2969999999999999</v>
      </c>
      <c r="F7" s="153" t="s">
        <v>850</v>
      </c>
      <c r="G7" s="153"/>
      <c r="H7" s="153"/>
    </row>
    <row r="8" spans="2:8" ht="36" customHeight="1" x14ac:dyDescent="0.25">
      <c r="B8" s="44" t="s">
        <v>28</v>
      </c>
      <c r="C8" s="153"/>
      <c r="D8" s="153"/>
      <c r="E8" s="170">
        <v>0.88400000000000001</v>
      </c>
      <c r="F8" s="153" t="s">
        <v>850</v>
      </c>
      <c r="G8" s="153"/>
      <c r="H8" s="153"/>
    </row>
    <row r="9" spans="2:8" ht="36" customHeight="1" x14ac:dyDescent="0.25">
      <c r="B9" s="44" t="s">
        <v>29</v>
      </c>
      <c r="C9" s="153"/>
      <c r="D9" s="46" t="s">
        <v>30</v>
      </c>
      <c r="E9" s="170">
        <v>44</v>
      </c>
      <c r="F9" s="46" t="s">
        <v>30</v>
      </c>
      <c r="G9" s="153"/>
      <c r="H9" s="153"/>
    </row>
    <row r="10" spans="2:8" ht="21.75" customHeight="1" x14ac:dyDescent="0.25">
      <c r="B10" s="44" t="s">
        <v>364</v>
      </c>
      <c r="C10" s="153"/>
      <c r="D10" s="46" t="s">
        <v>30</v>
      </c>
      <c r="E10" s="170">
        <v>12</v>
      </c>
      <c r="F10" s="46" t="s">
        <v>30</v>
      </c>
      <c r="G10" s="153"/>
      <c r="H10" s="153"/>
    </row>
    <row r="11" spans="2:8" ht="24" customHeight="1" x14ac:dyDescent="0.25">
      <c r="B11" s="44" t="s">
        <v>31</v>
      </c>
      <c r="C11" s="534"/>
      <c r="D11" s="534"/>
      <c r="E11" s="534" t="s">
        <v>851</v>
      </c>
      <c r="F11" s="534"/>
      <c r="G11" s="153"/>
      <c r="H11" s="153"/>
    </row>
    <row r="12" spans="2:8" ht="24" customHeight="1" x14ac:dyDescent="0.25">
      <c r="B12" s="44" t="s">
        <v>32</v>
      </c>
      <c r="C12" s="534"/>
      <c r="D12" s="534"/>
      <c r="E12" s="534"/>
      <c r="F12" s="534"/>
      <c r="G12" s="153"/>
      <c r="H12" s="153"/>
    </row>
    <row r="13" spans="2:8" ht="36" customHeight="1" x14ac:dyDescent="0.25">
      <c r="B13" s="44" t="s">
        <v>365</v>
      </c>
      <c r="C13" s="153"/>
      <c r="D13" s="46" t="s">
        <v>33</v>
      </c>
      <c r="E13" s="170"/>
      <c r="F13" s="46" t="s">
        <v>33</v>
      </c>
      <c r="G13" s="153"/>
      <c r="H13" s="153"/>
    </row>
    <row r="14" spans="2:8" ht="24" customHeight="1" x14ac:dyDescent="0.25">
      <c r="B14" s="44" t="s">
        <v>366</v>
      </c>
      <c r="C14" s="153"/>
      <c r="D14" s="153"/>
      <c r="E14" s="170"/>
      <c r="F14" s="153"/>
      <c r="G14" s="153"/>
      <c r="H14" s="153"/>
    </row>
    <row r="15" spans="2:8" ht="24" customHeight="1" x14ac:dyDescent="0.25">
      <c r="B15" s="44" t="s">
        <v>367</v>
      </c>
      <c r="C15" s="153"/>
      <c r="D15" s="46" t="s">
        <v>34</v>
      </c>
      <c r="E15" s="170"/>
      <c r="F15" s="46" t="s">
        <v>34</v>
      </c>
      <c r="G15" s="153"/>
      <c r="H15" s="153"/>
    </row>
    <row r="16" spans="2:8" ht="22.5" customHeight="1" x14ac:dyDescent="0.25">
      <c r="B16" s="44" t="s">
        <v>368</v>
      </c>
      <c r="C16" s="534"/>
      <c r="D16" s="534"/>
      <c r="E16" s="534"/>
      <c r="F16" s="534"/>
      <c r="G16" s="153"/>
      <c r="H16" s="153"/>
    </row>
    <row r="17" spans="2:8" ht="21.75" customHeight="1" x14ac:dyDescent="0.25">
      <c r="B17" s="44" t="s">
        <v>369</v>
      </c>
      <c r="C17" s="153"/>
      <c r="D17" s="46" t="s">
        <v>33</v>
      </c>
      <c r="E17" s="170"/>
      <c r="F17" s="46" t="s">
        <v>33</v>
      </c>
      <c r="G17" s="153"/>
      <c r="H17" s="153"/>
    </row>
    <row r="18" spans="2:8" ht="24" customHeight="1" x14ac:dyDescent="0.25">
      <c r="B18" s="44" t="s">
        <v>370</v>
      </c>
      <c r="C18" s="153"/>
      <c r="D18" s="153"/>
      <c r="E18" s="170"/>
      <c r="F18" s="153"/>
      <c r="G18" s="153"/>
      <c r="H18" s="153"/>
    </row>
    <row r="19" spans="2:8" ht="15" customHeight="1" x14ac:dyDescent="0.25">
      <c r="B19" s="44" t="s">
        <v>371</v>
      </c>
      <c r="C19" s="153"/>
      <c r="D19" s="46" t="s">
        <v>34</v>
      </c>
      <c r="E19" s="170"/>
      <c r="F19" s="46" t="s">
        <v>34</v>
      </c>
      <c r="G19" s="153"/>
      <c r="H19" s="153"/>
    </row>
    <row r="20" spans="2:8" ht="15" customHeight="1" x14ac:dyDescent="0.25">
      <c r="B20" s="44" t="s">
        <v>372</v>
      </c>
      <c r="C20" s="534"/>
      <c r="D20" s="534"/>
      <c r="E20" s="534"/>
      <c r="F20" s="534"/>
      <c r="G20" s="153"/>
      <c r="H20" s="153"/>
    </row>
    <row r="21" spans="2:8" x14ac:dyDescent="0.25">
      <c r="B21" s="44" t="s">
        <v>35</v>
      </c>
      <c r="C21" s="153"/>
      <c r="D21" s="153"/>
      <c r="E21" s="170"/>
      <c r="F21" s="153"/>
      <c r="G21" s="153"/>
      <c r="H21" s="153"/>
    </row>
    <row r="22" spans="2:8" ht="24" customHeight="1" x14ac:dyDescent="0.25">
      <c r="B22" s="44" t="s">
        <v>36</v>
      </c>
      <c r="C22" s="153"/>
      <c r="D22" s="153"/>
      <c r="E22" s="170"/>
      <c r="F22" s="153"/>
      <c r="G22" s="153"/>
      <c r="H22" s="153"/>
    </row>
    <row r="23" spans="2:8" x14ac:dyDescent="0.25">
      <c r="B23" s="56" t="s">
        <v>353</v>
      </c>
      <c r="C23" s="174"/>
      <c r="D23" s="154"/>
      <c r="E23" s="174"/>
      <c r="F23" s="154"/>
      <c r="G23" s="153"/>
      <c r="H23" s="153"/>
    </row>
    <row r="24" spans="2:8" x14ac:dyDescent="0.25">
      <c r="B24" s="56" t="s">
        <v>353</v>
      </c>
      <c r="C24" s="174"/>
      <c r="D24" s="154"/>
      <c r="E24" s="174"/>
      <c r="F24" s="154"/>
      <c r="G24" s="153"/>
      <c r="H24" s="153"/>
    </row>
    <row r="25" spans="2:8" x14ac:dyDescent="0.25">
      <c r="B25" s="56" t="s">
        <v>353</v>
      </c>
      <c r="C25" s="174"/>
      <c r="D25" s="154"/>
      <c r="E25" s="174"/>
      <c r="F25" s="154"/>
      <c r="G25" s="153"/>
      <c r="H25" s="153"/>
    </row>
    <row r="26" spans="2:8" x14ac:dyDescent="0.25">
      <c r="B26" s="56" t="s">
        <v>353</v>
      </c>
      <c r="C26" s="174"/>
      <c r="D26" s="154"/>
      <c r="E26" s="174"/>
      <c r="F26" s="154"/>
      <c r="G26" s="153"/>
      <c r="H26" s="153"/>
    </row>
  </sheetData>
  <sheetProtection password="C5B9" sheet="1" objects="1" scenarios="1"/>
  <mergeCells count="13">
    <mergeCell ref="B2:H2"/>
    <mergeCell ref="C20:D20"/>
    <mergeCell ref="E20:F20"/>
    <mergeCell ref="E3:G3"/>
    <mergeCell ref="C5:D5"/>
    <mergeCell ref="E5:F5"/>
    <mergeCell ref="C3:D3"/>
    <mergeCell ref="C16:D16"/>
    <mergeCell ref="E16:F16"/>
    <mergeCell ref="C12:D12"/>
    <mergeCell ref="E12:F12"/>
    <mergeCell ref="C11:D11"/>
    <mergeCell ref="E11:F11"/>
  </mergeCells>
  <pageMargins left="0.25" right="0.25" top="0.75" bottom="0.75" header="0.3" footer="0.3"/>
  <pageSetup scale="80" orientation="portrait" r:id="rId1"/>
  <headerFooter>
    <oddHeader>&amp;L&amp;G&amp;C&amp;G</oddHeader>
    <oddFooter>&amp;RNovember 2016</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B2:H18"/>
  <sheetViews>
    <sheetView view="pageLayout" zoomScaleNormal="100" zoomScaleSheetLayoutView="115" workbookViewId="0">
      <selection activeCell="C8" sqref="C8"/>
    </sheetView>
  </sheetViews>
  <sheetFormatPr defaultRowHeight="15" x14ac:dyDescent="0.25"/>
  <cols>
    <col min="1" max="1" width="3.28515625" customWidth="1"/>
    <col min="2" max="2" width="23.42578125" customWidth="1"/>
    <col min="3" max="3" width="28.7109375" customWidth="1"/>
    <col min="4" max="4" width="7.42578125" customWidth="1"/>
    <col min="5" max="5" width="22.5703125" customWidth="1"/>
    <col min="6" max="6" width="6.85546875" customWidth="1"/>
    <col min="7" max="7" width="11.7109375" customWidth="1"/>
    <col min="8" max="8" width="12.140625" customWidth="1"/>
  </cols>
  <sheetData>
    <row r="2" spans="2:8" ht="17.25" customHeight="1" x14ac:dyDescent="0.25">
      <c r="B2" s="473" t="s">
        <v>90</v>
      </c>
      <c r="C2" s="474"/>
      <c r="D2" s="474"/>
      <c r="E2" s="474"/>
      <c r="F2" s="474"/>
      <c r="G2" s="474"/>
      <c r="H2" s="476"/>
    </row>
    <row r="3" spans="2:8" ht="15" customHeight="1" x14ac:dyDescent="0.25">
      <c r="B3" s="62" t="s">
        <v>0</v>
      </c>
      <c r="C3" s="435" t="s">
        <v>374</v>
      </c>
      <c r="D3" s="435"/>
      <c r="E3" s="435" t="s">
        <v>375</v>
      </c>
      <c r="F3" s="435"/>
      <c r="G3" s="435"/>
      <c r="H3" s="46"/>
    </row>
    <row r="4" spans="2:8" ht="31.5" customHeight="1" x14ac:dyDescent="0.25">
      <c r="B4" s="61"/>
      <c r="C4" s="46" t="s">
        <v>1</v>
      </c>
      <c r="D4" s="44" t="s">
        <v>2</v>
      </c>
      <c r="E4" s="63" t="s">
        <v>1</v>
      </c>
      <c r="F4" s="44" t="s">
        <v>2</v>
      </c>
      <c r="G4" s="46" t="s">
        <v>21</v>
      </c>
      <c r="H4" s="46" t="s">
        <v>123</v>
      </c>
    </row>
    <row r="5" spans="2:8" ht="33.75" customHeight="1" x14ac:dyDescent="0.25">
      <c r="B5" s="59" t="s">
        <v>376</v>
      </c>
      <c r="C5" s="534"/>
      <c r="D5" s="534"/>
      <c r="E5" s="534"/>
      <c r="F5" s="534"/>
      <c r="G5" s="153"/>
      <c r="H5" s="153"/>
    </row>
    <row r="6" spans="2:8" x14ac:dyDescent="0.25">
      <c r="B6" s="44" t="s">
        <v>37</v>
      </c>
      <c r="C6" s="153"/>
      <c r="D6" s="153"/>
      <c r="E6" s="170"/>
      <c r="F6" s="153"/>
      <c r="G6" s="153"/>
      <c r="H6" s="153"/>
    </row>
    <row r="7" spans="2:8" ht="28.5" customHeight="1" x14ac:dyDescent="0.25">
      <c r="B7" s="44" t="s">
        <v>38</v>
      </c>
      <c r="C7" s="153"/>
      <c r="D7" s="153"/>
      <c r="E7" s="170"/>
      <c r="F7" s="153"/>
      <c r="G7" s="153"/>
      <c r="H7" s="153"/>
    </row>
    <row r="8" spans="2:8" ht="36" customHeight="1" x14ac:dyDescent="0.25">
      <c r="B8" s="44" t="s">
        <v>39</v>
      </c>
      <c r="C8" s="153"/>
      <c r="D8" s="46" t="s">
        <v>30</v>
      </c>
      <c r="E8" s="153"/>
      <c r="F8" s="46" t="s">
        <v>30</v>
      </c>
      <c r="G8" s="153"/>
      <c r="H8" s="153"/>
    </row>
    <row r="9" spans="2:8" ht="21.75" customHeight="1" x14ac:dyDescent="0.25">
      <c r="B9" s="44" t="s">
        <v>40</v>
      </c>
      <c r="C9" s="153"/>
      <c r="D9" s="46" t="s">
        <v>30</v>
      </c>
      <c r="E9" s="153"/>
      <c r="F9" s="46" t="s">
        <v>30</v>
      </c>
      <c r="G9" s="153"/>
      <c r="H9" s="153"/>
    </row>
    <row r="10" spans="2:8" ht="24" customHeight="1" x14ac:dyDescent="0.25">
      <c r="B10" s="44" t="s">
        <v>41</v>
      </c>
      <c r="C10" s="534"/>
      <c r="D10" s="534"/>
      <c r="E10" s="534"/>
      <c r="F10" s="534"/>
      <c r="G10" s="153"/>
      <c r="H10" s="153"/>
    </row>
    <row r="11" spans="2:8" ht="36" customHeight="1" x14ac:dyDescent="0.25">
      <c r="B11" s="44" t="s">
        <v>42</v>
      </c>
      <c r="C11" s="153"/>
      <c r="D11" s="46" t="s">
        <v>33</v>
      </c>
      <c r="E11" s="153"/>
      <c r="F11" s="46" t="s">
        <v>33</v>
      </c>
      <c r="G11" s="153"/>
      <c r="H11" s="153"/>
    </row>
    <row r="12" spans="2:8" x14ac:dyDescent="0.25">
      <c r="B12" s="44" t="s">
        <v>43</v>
      </c>
      <c r="C12" s="153"/>
      <c r="D12" s="153"/>
      <c r="E12" s="153"/>
      <c r="F12" s="153"/>
      <c r="G12" s="153"/>
      <c r="H12" s="153"/>
    </row>
    <row r="13" spans="2:8" ht="23.25" customHeight="1" x14ac:dyDescent="0.25">
      <c r="B13" s="44" t="s">
        <v>44</v>
      </c>
      <c r="C13" s="153"/>
      <c r="D13" s="46" t="s">
        <v>34</v>
      </c>
      <c r="E13" s="153"/>
      <c r="F13" s="46" t="s">
        <v>34</v>
      </c>
      <c r="G13" s="153"/>
      <c r="H13" s="153"/>
    </row>
    <row r="14" spans="2:8" ht="21" customHeight="1" x14ac:dyDescent="0.25">
      <c r="B14" s="44" t="s">
        <v>45</v>
      </c>
      <c r="C14" s="534"/>
      <c r="D14" s="534"/>
      <c r="E14" s="534"/>
      <c r="F14" s="534"/>
      <c r="G14" s="153"/>
      <c r="H14" s="153"/>
    </row>
    <row r="15" spans="2:8" x14ac:dyDescent="0.25">
      <c r="B15" s="56" t="s">
        <v>353</v>
      </c>
      <c r="C15" s="174"/>
      <c r="D15" s="154"/>
      <c r="E15" s="174"/>
      <c r="F15" s="154"/>
      <c r="G15" s="153"/>
      <c r="H15" s="153"/>
    </row>
    <row r="16" spans="2:8" x14ac:dyDescent="0.25">
      <c r="B16" s="56" t="s">
        <v>353</v>
      </c>
      <c r="C16" s="174"/>
      <c r="D16" s="154"/>
      <c r="E16" s="174"/>
      <c r="F16" s="154"/>
      <c r="G16" s="153"/>
      <c r="H16" s="153"/>
    </row>
    <row r="17" spans="2:8" x14ac:dyDescent="0.25">
      <c r="B17" s="56" t="s">
        <v>353</v>
      </c>
      <c r="C17" s="174"/>
      <c r="D17" s="154"/>
      <c r="E17" s="174"/>
      <c r="F17" s="154"/>
      <c r="G17" s="153"/>
      <c r="H17" s="153"/>
    </row>
    <row r="18" spans="2:8" x14ac:dyDescent="0.25">
      <c r="B18" s="56" t="s">
        <v>353</v>
      </c>
      <c r="C18" s="174"/>
      <c r="D18" s="154"/>
      <c r="E18" s="174"/>
      <c r="F18" s="154"/>
      <c r="G18" s="153"/>
      <c r="H18" s="153"/>
    </row>
  </sheetData>
  <sheetProtection password="C5B9" sheet="1" objects="1" scenarios="1"/>
  <mergeCells count="9">
    <mergeCell ref="C14:D14"/>
    <mergeCell ref="E14:F14"/>
    <mergeCell ref="B2:H2"/>
    <mergeCell ref="C3:D3"/>
    <mergeCell ref="E3:G3"/>
    <mergeCell ref="C5:D5"/>
    <mergeCell ref="E5:F5"/>
    <mergeCell ref="C10:D10"/>
    <mergeCell ref="E10:F10"/>
  </mergeCells>
  <pageMargins left="0.7" right="0.7" top="0.75" bottom="0.75" header="0.3" footer="0.3"/>
  <pageSetup scale="77" orientation="portrait" r:id="rId1"/>
  <headerFooter>
    <oddHeader>&amp;L&amp;G&amp;C&amp;G</oddHeader>
    <oddFooter>&amp;RNovember 2016</oddFooter>
  </headerFooter>
  <colBreaks count="1" manualBreakCount="1">
    <brk id="8" max="1048575" man="1"/>
  </colBreaks>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B2:H23"/>
  <sheetViews>
    <sheetView zoomScale="140" zoomScaleNormal="140" zoomScaleSheetLayoutView="100" workbookViewId="0">
      <selection activeCell="E8" sqref="E8"/>
    </sheetView>
  </sheetViews>
  <sheetFormatPr defaultRowHeight="15" x14ac:dyDescent="0.25"/>
  <cols>
    <col min="1" max="1" width="3.28515625" customWidth="1"/>
    <col min="2" max="2" width="27.5703125" customWidth="1"/>
    <col min="3" max="3" width="24.5703125" customWidth="1"/>
    <col min="4" max="4" width="7.42578125" customWidth="1"/>
    <col min="5" max="5" width="21.28515625" customWidth="1"/>
    <col min="6" max="6" width="6.85546875" customWidth="1"/>
    <col min="7" max="7" width="14.7109375" customWidth="1"/>
    <col min="8" max="8" width="14.85546875" customWidth="1"/>
  </cols>
  <sheetData>
    <row r="2" spans="2:8" ht="17.25" customHeight="1" x14ac:dyDescent="0.25">
      <c r="B2" s="473" t="s">
        <v>377</v>
      </c>
      <c r="C2" s="474"/>
      <c r="D2" s="474"/>
      <c r="E2" s="474"/>
      <c r="F2" s="474"/>
      <c r="G2" s="474"/>
      <c r="H2" s="476"/>
    </row>
    <row r="3" spans="2:8" ht="26.25" customHeight="1" x14ac:dyDescent="0.25">
      <c r="B3" s="62" t="s">
        <v>0</v>
      </c>
      <c r="C3" s="435" t="s">
        <v>374</v>
      </c>
      <c r="D3" s="435"/>
      <c r="E3" s="435" t="s">
        <v>375</v>
      </c>
      <c r="F3" s="435"/>
      <c r="G3" s="435"/>
      <c r="H3" s="46"/>
    </row>
    <row r="4" spans="2:8" ht="31.5" customHeight="1" x14ac:dyDescent="0.25">
      <c r="B4" s="61"/>
      <c r="C4" s="46" t="s">
        <v>1</v>
      </c>
      <c r="D4" s="44" t="s">
        <v>2</v>
      </c>
      <c r="E4" s="63" t="s">
        <v>1</v>
      </c>
      <c r="F4" s="44" t="s">
        <v>2</v>
      </c>
      <c r="G4" s="46" t="s">
        <v>21</v>
      </c>
      <c r="H4" s="46" t="s">
        <v>123</v>
      </c>
    </row>
    <row r="5" spans="2:8" ht="33.75" customHeight="1" x14ac:dyDescent="0.25">
      <c r="B5" s="59" t="s">
        <v>46</v>
      </c>
      <c r="C5" s="534" t="s">
        <v>853</v>
      </c>
      <c r="D5" s="534"/>
      <c r="E5" s="534" t="s">
        <v>852</v>
      </c>
      <c r="F5" s="534"/>
      <c r="G5" s="153"/>
      <c r="H5" s="153"/>
    </row>
    <row r="6" spans="2:8" x14ac:dyDescent="0.25">
      <c r="B6" s="44" t="s">
        <v>47</v>
      </c>
      <c r="C6" s="153"/>
      <c r="D6" s="153" t="s">
        <v>855</v>
      </c>
      <c r="E6" s="170"/>
      <c r="F6" s="153" t="s">
        <v>855</v>
      </c>
      <c r="G6" s="153"/>
      <c r="H6" s="153"/>
    </row>
    <row r="7" spans="2:8" ht="22.5" x14ac:dyDescent="0.25">
      <c r="B7" s="44" t="s">
        <v>48</v>
      </c>
      <c r="C7" s="268" t="str">
        <f>IF(C6="","",IF(C6&lt;300,82%,IF(C6&gt;2500,82%,80%)))</f>
        <v/>
      </c>
      <c r="D7" s="153" t="str">
        <f>IF(C6="","",IF(C6&lt;300,"AFUE",IF(C6&gt;2500,"Ec","Et")))</f>
        <v/>
      </c>
      <c r="E7" s="170" t="s">
        <v>854</v>
      </c>
      <c r="F7" s="153" t="s">
        <v>412</v>
      </c>
      <c r="G7" s="153"/>
      <c r="H7" s="153"/>
    </row>
    <row r="8" spans="2:8" ht="36" customHeight="1" x14ac:dyDescent="0.25">
      <c r="B8" s="44" t="s">
        <v>49</v>
      </c>
      <c r="C8" s="153" t="s">
        <v>859</v>
      </c>
      <c r="D8" s="46" t="s">
        <v>30</v>
      </c>
      <c r="E8" s="153" t="s">
        <v>857</v>
      </c>
      <c r="F8" s="46" t="s">
        <v>30</v>
      </c>
      <c r="G8" s="153"/>
      <c r="H8" s="153"/>
    </row>
    <row r="9" spans="2:8" ht="21.75" customHeight="1" x14ac:dyDescent="0.25">
      <c r="B9" s="44" t="s">
        <v>50</v>
      </c>
      <c r="C9" s="153">
        <v>50</v>
      </c>
      <c r="D9" s="46" t="s">
        <v>30</v>
      </c>
      <c r="E9" s="153">
        <v>40</v>
      </c>
      <c r="F9" s="46" t="s">
        <v>30</v>
      </c>
      <c r="G9" s="153"/>
      <c r="H9" s="153"/>
    </row>
    <row r="10" spans="2:8" ht="24" customHeight="1" x14ac:dyDescent="0.25">
      <c r="B10" s="44" t="s">
        <v>51</v>
      </c>
      <c r="C10" s="534" t="s">
        <v>858</v>
      </c>
      <c r="D10" s="534"/>
      <c r="E10" s="534" t="s">
        <v>856</v>
      </c>
      <c r="F10" s="534"/>
      <c r="G10" s="153"/>
      <c r="H10" s="153"/>
    </row>
    <row r="11" spans="2:8" ht="24" customHeight="1" x14ac:dyDescent="0.25">
      <c r="B11" s="44" t="s">
        <v>52</v>
      </c>
      <c r="C11" s="534"/>
      <c r="D11" s="534"/>
      <c r="E11" s="534" t="s">
        <v>860</v>
      </c>
      <c r="F11" s="534"/>
      <c r="G11" s="153"/>
      <c r="H11" s="153"/>
    </row>
    <row r="12" spans="2:8" ht="36" customHeight="1" x14ac:dyDescent="0.25">
      <c r="B12" s="44" t="s">
        <v>378</v>
      </c>
      <c r="C12" s="153"/>
      <c r="D12" s="46" t="s">
        <v>33</v>
      </c>
      <c r="E12" s="153"/>
      <c r="F12" s="46" t="s">
        <v>33</v>
      </c>
      <c r="G12" s="153"/>
      <c r="H12" s="153"/>
    </row>
    <row r="13" spans="2:8" ht="24" customHeight="1" x14ac:dyDescent="0.25">
      <c r="B13" s="44" t="s">
        <v>379</v>
      </c>
      <c r="C13" s="153"/>
      <c r="D13" s="153"/>
      <c r="E13" s="153">
        <v>19</v>
      </c>
      <c r="F13" s="153" t="s">
        <v>861</v>
      </c>
      <c r="G13" s="153"/>
      <c r="H13" s="153"/>
    </row>
    <row r="14" spans="2:8" ht="15" customHeight="1" x14ac:dyDescent="0.25">
      <c r="B14" s="44" t="s">
        <v>380</v>
      </c>
      <c r="C14" s="153"/>
      <c r="D14" s="46" t="s">
        <v>34</v>
      </c>
      <c r="E14" s="153"/>
      <c r="F14" s="46" t="s">
        <v>34</v>
      </c>
      <c r="G14" s="153"/>
      <c r="H14" s="153"/>
    </row>
    <row r="15" spans="2:8" ht="24" customHeight="1" x14ac:dyDescent="0.25">
      <c r="B15" s="44" t="s">
        <v>381</v>
      </c>
      <c r="C15" s="534"/>
      <c r="D15" s="534"/>
      <c r="E15" s="534" t="str">
        <f>IF(E12="","",IF('SCA Exec Summary'!D26&gt;120000,"Variable speed drives; two-way valves on coils","Ride pump curve; two-way valves on coils"))</f>
        <v/>
      </c>
      <c r="F15" s="534"/>
      <c r="G15" s="153"/>
      <c r="H15" s="153"/>
    </row>
    <row r="16" spans="2:8" ht="24" customHeight="1" x14ac:dyDescent="0.25">
      <c r="B16" s="44" t="s">
        <v>382</v>
      </c>
      <c r="C16" s="153"/>
      <c r="D16" s="46" t="s">
        <v>33</v>
      </c>
      <c r="E16" s="153"/>
      <c r="F16" s="46" t="s">
        <v>33</v>
      </c>
      <c r="G16" s="153"/>
      <c r="H16" s="153"/>
    </row>
    <row r="17" spans="2:8" ht="24" customHeight="1" x14ac:dyDescent="0.25">
      <c r="B17" s="44" t="s">
        <v>383</v>
      </c>
      <c r="C17" s="153"/>
      <c r="D17" s="153"/>
      <c r="E17" s="153"/>
      <c r="F17" s="153"/>
      <c r="G17" s="153"/>
      <c r="H17" s="153"/>
    </row>
    <row r="18" spans="2:8" ht="15" customHeight="1" x14ac:dyDescent="0.25">
      <c r="B18" s="44" t="s">
        <v>384</v>
      </c>
      <c r="C18" s="153"/>
      <c r="D18" s="46" t="s">
        <v>34</v>
      </c>
      <c r="E18" s="153"/>
      <c r="F18" s="46" t="s">
        <v>34</v>
      </c>
      <c r="G18" s="153"/>
      <c r="H18" s="153"/>
    </row>
    <row r="19" spans="2:8" ht="23.25" customHeight="1" x14ac:dyDescent="0.25">
      <c r="B19" s="44" t="s">
        <v>385</v>
      </c>
      <c r="C19" s="534"/>
      <c r="D19" s="534"/>
      <c r="E19" s="534"/>
      <c r="F19" s="534"/>
      <c r="G19" s="153"/>
      <c r="H19" s="153"/>
    </row>
    <row r="20" spans="2:8" x14ac:dyDescent="0.25">
      <c r="B20" s="56" t="s">
        <v>353</v>
      </c>
      <c r="C20" s="174"/>
      <c r="D20" s="154"/>
      <c r="E20" s="174"/>
      <c r="F20" s="154"/>
      <c r="G20" s="153"/>
      <c r="H20" s="153"/>
    </row>
    <row r="21" spans="2:8" x14ac:dyDescent="0.25">
      <c r="B21" s="56" t="s">
        <v>353</v>
      </c>
      <c r="C21" s="174"/>
      <c r="D21" s="154"/>
      <c r="E21" s="174"/>
      <c r="F21" s="154"/>
      <c r="G21" s="153"/>
      <c r="H21" s="153"/>
    </row>
    <row r="22" spans="2:8" x14ac:dyDescent="0.25">
      <c r="B22" s="56" t="s">
        <v>353</v>
      </c>
      <c r="C22" s="174"/>
      <c r="D22" s="154"/>
      <c r="E22" s="174"/>
      <c r="F22" s="154"/>
      <c r="G22" s="153"/>
      <c r="H22" s="153"/>
    </row>
    <row r="23" spans="2:8" x14ac:dyDescent="0.25">
      <c r="B23" s="56" t="s">
        <v>353</v>
      </c>
      <c r="C23" s="174"/>
      <c r="D23" s="154"/>
      <c r="E23" s="174"/>
      <c r="F23" s="154"/>
      <c r="G23" s="153"/>
      <c r="H23" s="153"/>
    </row>
  </sheetData>
  <sheetProtection password="C5B9" sheet="1" objects="1" scenarios="1"/>
  <mergeCells count="13">
    <mergeCell ref="C10:D10"/>
    <mergeCell ref="E10:F10"/>
    <mergeCell ref="B2:H2"/>
    <mergeCell ref="C3:D3"/>
    <mergeCell ref="E3:G3"/>
    <mergeCell ref="C5:D5"/>
    <mergeCell ref="E5:F5"/>
    <mergeCell ref="C11:D11"/>
    <mergeCell ref="E11:F11"/>
    <mergeCell ref="C15:D15"/>
    <mergeCell ref="E15:F15"/>
    <mergeCell ref="C19:D19"/>
    <mergeCell ref="E19:F19"/>
  </mergeCells>
  <pageMargins left="0.25" right="0.25" top="0.75" bottom="0.75" header="0.3" footer="0.3"/>
  <pageSetup scale="80" orientation="portrait" r:id="rId1"/>
  <headerFooter>
    <oddHeader>&amp;L&amp;G&amp;C&amp;G</oddHeader>
    <oddFooter>&amp;RNovember 2016</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B2:H22"/>
  <sheetViews>
    <sheetView zoomScaleNormal="100" zoomScaleSheetLayoutView="85" workbookViewId="0">
      <selection activeCell="N14" sqref="N14"/>
    </sheetView>
  </sheetViews>
  <sheetFormatPr defaultRowHeight="15" x14ac:dyDescent="0.25"/>
  <cols>
    <col min="1" max="1" width="3.28515625" customWidth="1"/>
    <col min="2" max="2" width="27.5703125" customWidth="1"/>
    <col min="3" max="3" width="24.5703125" customWidth="1"/>
    <col min="4" max="4" width="7.42578125" customWidth="1"/>
    <col min="5" max="5" width="21.28515625" customWidth="1"/>
    <col min="6" max="6" width="6.85546875" customWidth="1"/>
    <col min="7" max="7" width="14.7109375" customWidth="1"/>
    <col min="8" max="8" width="14.85546875" customWidth="1"/>
  </cols>
  <sheetData>
    <row r="2" spans="2:8" ht="17.25" customHeight="1" x14ac:dyDescent="0.25">
      <c r="B2" s="473" t="s">
        <v>431</v>
      </c>
      <c r="C2" s="474"/>
      <c r="D2" s="474"/>
      <c r="E2" s="474"/>
      <c r="F2" s="474"/>
      <c r="G2" s="474"/>
      <c r="H2" s="476"/>
    </row>
    <row r="3" spans="2:8" ht="26.25" customHeight="1" x14ac:dyDescent="0.25">
      <c r="B3" s="62" t="s">
        <v>0</v>
      </c>
      <c r="C3" s="435" t="s">
        <v>374</v>
      </c>
      <c r="D3" s="435"/>
      <c r="E3" s="435" t="s">
        <v>375</v>
      </c>
      <c r="F3" s="435"/>
      <c r="G3" s="435"/>
      <c r="H3" s="46"/>
    </row>
    <row r="4" spans="2:8" ht="31.5" customHeight="1" x14ac:dyDescent="0.25">
      <c r="B4" s="61"/>
      <c r="C4" s="46" t="s">
        <v>1</v>
      </c>
      <c r="D4" s="44" t="s">
        <v>2</v>
      </c>
      <c r="E4" s="63" t="s">
        <v>1</v>
      </c>
      <c r="F4" s="44" t="s">
        <v>2</v>
      </c>
      <c r="G4" s="46" t="s">
        <v>21</v>
      </c>
      <c r="H4" s="46" t="s">
        <v>123</v>
      </c>
    </row>
    <row r="5" spans="2:8" ht="33.75" customHeight="1" x14ac:dyDescent="0.25">
      <c r="B5" s="59" t="s">
        <v>386</v>
      </c>
      <c r="C5" s="435" t="s">
        <v>401</v>
      </c>
      <c r="D5" s="435"/>
      <c r="E5" s="534"/>
      <c r="F5" s="534"/>
      <c r="G5" s="153"/>
      <c r="H5" s="153"/>
    </row>
    <row r="6" spans="2:8" ht="24" customHeight="1" x14ac:dyDescent="0.25">
      <c r="B6" s="44" t="s">
        <v>387</v>
      </c>
      <c r="C6" s="435" t="s">
        <v>401</v>
      </c>
      <c r="D6" s="435"/>
      <c r="E6" s="170"/>
      <c r="F6" s="153"/>
      <c r="G6" s="153"/>
      <c r="H6" s="153"/>
    </row>
    <row r="7" spans="2:8" ht="28.5" customHeight="1" x14ac:dyDescent="0.25">
      <c r="B7" s="44" t="s">
        <v>388</v>
      </c>
      <c r="C7" s="435" t="s">
        <v>401</v>
      </c>
      <c r="D7" s="435"/>
      <c r="E7" s="170"/>
      <c r="F7" s="46" t="s">
        <v>30</v>
      </c>
      <c r="G7" s="153"/>
      <c r="H7" s="153"/>
    </row>
    <row r="8" spans="2:8" ht="36" customHeight="1" x14ac:dyDescent="0.25">
      <c r="B8" s="44" t="s">
        <v>389</v>
      </c>
      <c r="C8" s="435" t="s">
        <v>401</v>
      </c>
      <c r="D8" s="435"/>
      <c r="E8" s="170"/>
      <c r="F8" s="46" t="s">
        <v>30</v>
      </c>
      <c r="G8" s="153"/>
      <c r="H8" s="153"/>
    </row>
    <row r="9" spans="2:8" ht="21.75" customHeight="1" x14ac:dyDescent="0.25">
      <c r="B9" s="44" t="s">
        <v>390</v>
      </c>
      <c r="C9" s="435" t="s">
        <v>401</v>
      </c>
      <c r="D9" s="435"/>
      <c r="E9" s="170"/>
      <c r="F9" s="46" t="s">
        <v>30</v>
      </c>
      <c r="G9" s="153"/>
      <c r="H9" s="153"/>
    </row>
    <row r="10" spans="2:8" ht="24" customHeight="1" x14ac:dyDescent="0.25">
      <c r="B10" s="44" t="s">
        <v>391</v>
      </c>
      <c r="C10" s="435" t="s">
        <v>401</v>
      </c>
      <c r="D10" s="435"/>
      <c r="E10" s="170"/>
      <c r="F10" s="46" t="s">
        <v>30</v>
      </c>
      <c r="G10" s="153"/>
      <c r="H10" s="153"/>
    </row>
    <row r="11" spans="2:8" ht="24" customHeight="1" x14ac:dyDescent="0.25">
      <c r="B11" s="44" t="s">
        <v>392</v>
      </c>
      <c r="C11" s="435" t="s">
        <v>401</v>
      </c>
      <c r="D11" s="435"/>
      <c r="E11" s="534"/>
      <c r="F11" s="534"/>
      <c r="G11" s="153"/>
      <c r="H11" s="153"/>
    </row>
    <row r="12" spans="2:8" ht="36" customHeight="1" x14ac:dyDescent="0.25">
      <c r="B12" s="44" t="s">
        <v>393</v>
      </c>
      <c r="C12" s="435" t="s">
        <v>401</v>
      </c>
      <c r="D12" s="435"/>
      <c r="E12" s="558"/>
      <c r="F12" s="559"/>
      <c r="G12" s="153"/>
      <c r="H12" s="153"/>
    </row>
    <row r="13" spans="2:8" ht="24" customHeight="1" x14ac:dyDescent="0.25">
      <c r="B13" s="44" t="s">
        <v>394</v>
      </c>
      <c r="C13" s="435" t="s">
        <v>401</v>
      </c>
      <c r="D13" s="435"/>
      <c r="E13" s="170"/>
      <c r="F13" s="153"/>
      <c r="G13" s="153"/>
      <c r="H13" s="153"/>
    </row>
    <row r="14" spans="2:8" ht="23.25" customHeight="1" x14ac:dyDescent="0.25">
      <c r="B14" s="44" t="s">
        <v>395</v>
      </c>
      <c r="C14" s="435" t="s">
        <v>401</v>
      </c>
      <c r="D14" s="435"/>
      <c r="E14" s="170"/>
      <c r="F14" s="46" t="s">
        <v>33</v>
      </c>
      <c r="G14" s="153"/>
      <c r="H14" s="153"/>
    </row>
    <row r="15" spans="2:8" ht="15" customHeight="1" x14ac:dyDescent="0.25">
      <c r="B15" s="44" t="s">
        <v>396</v>
      </c>
      <c r="C15" s="435" t="s">
        <v>401</v>
      </c>
      <c r="D15" s="435"/>
      <c r="E15" s="534"/>
      <c r="F15" s="534"/>
      <c r="G15" s="153"/>
      <c r="H15" s="153"/>
    </row>
    <row r="16" spans="2:8" ht="24" customHeight="1" x14ac:dyDescent="0.25">
      <c r="B16" s="44" t="s">
        <v>397</v>
      </c>
      <c r="C16" s="435" t="s">
        <v>401</v>
      </c>
      <c r="D16" s="435"/>
      <c r="E16" s="170"/>
      <c r="F16" s="46" t="s">
        <v>400</v>
      </c>
      <c r="G16" s="153"/>
      <c r="H16" s="153"/>
    </row>
    <row r="17" spans="2:8" ht="24" customHeight="1" x14ac:dyDescent="0.25">
      <c r="B17" s="44" t="s">
        <v>398</v>
      </c>
      <c r="C17" s="435" t="s">
        <v>401</v>
      </c>
      <c r="D17" s="435"/>
      <c r="E17" s="170"/>
      <c r="F17" s="46" t="s">
        <v>34</v>
      </c>
      <c r="G17" s="153"/>
      <c r="H17" s="153"/>
    </row>
    <row r="18" spans="2:8" ht="24" customHeight="1" x14ac:dyDescent="0.25">
      <c r="B18" s="44" t="s">
        <v>399</v>
      </c>
      <c r="C18" s="435" t="s">
        <v>401</v>
      </c>
      <c r="D18" s="435"/>
      <c r="E18" s="170"/>
      <c r="F18" s="153"/>
      <c r="G18" s="153"/>
      <c r="H18" s="153"/>
    </row>
    <row r="19" spans="2:8" x14ac:dyDescent="0.25">
      <c r="B19" s="44" t="s">
        <v>353</v>
      </c>
      <c r="C19" s="435" t="s">
        <v>401</v>
      </c>
      <c r="D19" s="435"/>
      <c r="E19" s="534"/>
      <c r="F19" s="534"/>
      <c r="G19" s="153"/>
      <c r="H19" s="153"/>
    </row>
    <row r="20" spans="2:8" x14ac:dyDescent="0.25">
      <c r="B20" s="56" t="s">
        <v>353</v>
      </c>
      <c r="C20" s="435" t="s">
        <v>401</v>
      </c>
      <c r="D20" s="435"/>
      <c r="E20" s="174"/>
      <c r="F20" s="154"/>
      <c r="G20" s="153"/>
      <c r="H20" s="153"/>
    </row>
    <row r="21" spans="2:8" x14ac:dyDescent="0.25">
      <c r="B21" s="56" t="s">
        <v>353</v>
      </c>
      <c r="C21" s="435" t="s">
        <v>401</v>
      </c>
      <c r="D21" s="435"/>
      <c r="E21" s="174"/>
      <c r="F21" s="154"/>
      <c r="G21" s="153"/>
      <c r="H21" s="153"/>
    </row>
    <row r="22" spans="2:8" x14ac:dyDescent="0.25">
      <c r="B22" s="56" t="s">
        <v>353</v>
      </c>
      <c r="C22" s="435" t="s">
        <v>401</v>
      </c>
      <c r="D22" s="435"/>
      <c r="E22" s="174"/>
      <c r="F22" s="154"/>
      <c r="G22" s="153"/>
      <c r="H22" s="153"/>
    </row>
  </sheetData>
  <sheetProtection password="C5B9" sheet="1" objects="1" scenarios="1"/>
  <mergeCells count="26">
    <mergeCell ref="B2:H2"/>
    <mergeCell ref="C3:D3"/>
    <mergeCell ref="E3:G3"/>
    <mergeCell ref="C5:D5"/>
    <mergeCell ref="E5:F5"/>
    <mergeCell ref="E11:F11"/>
    <mergeCell ref="C15:D15"/>
    <mergeCell ref="E15:F15"/>
    <mergeCell ref="C19:D19"/>
    <mergeCell ref="E19:F19"/>
    <mergeCell ref="E12:F12"/>
    <mergeCell ref="C14:D14"/>
    <mergeCell ref="C13:D13"/>
    <mergeCell ref="C12:D12"/>
    <mergeCell ref="C6:D6"/>
    <mergeCell ref="C20:D20"/>
    <mergeCell ref="C21:D21"/>
    <mergeCell ref="C22:D22"/>
    <mergeCell ref="C18:D18"/>
    <mergeCell ref="C17:D17"/>
    <mergeCell ref="C16:D16"/>
    <mergeCell ref="C11:D11"/>
    <mergeCell ref="C10:D10"/>
    <mergeCell ref="C9:D9"/>
    <mergeCell ref="C8:D8"/>
    <mergeCell ref="C7:D7"/>
  </mergeCells>
  <pageMargins left="0.25" right="0.25" top="0.75" bottom="0.75" header="0.3" footer="0.3"/>
  <pageSetup scale="80" orientation="portrait" r:id="rId1"/>
  <headerFooter>
    <oddHeader>&amp;L&amp;G&amp;C&amp;G</oddHeader>
    <oddFooter>&amp;RNovember 2016</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B2:H18"/>
  <sheetViews>
    <sheetView view="pageLayout" zoomScaleNormal="100" zoomScaleSheetLayoutView="85" workbookViewId="0">
      <selection activeCell="E5" sqref="E5:F5"/>
    </sheetView>
  </sheetViews>
  <sheetFormatPr defaultRowHeight="15" x14ac:dyDescent="0.25"/>
  <cols>
    <col min="1" max="1" width="3.28515625" customWidth="1"/>
    <col min="2" max="2" width="27.5703125" customWidth="1"/>
    <col min="3" max="3" width="24.5703125" customWidth="1"/>
    <col min="4" max="4" width="7.42578125" customWidth="1"/>
    <col min="5" max="5" width="21.28515625" customWidth="1"/>
    <col min="6" max="6" width="6.85546875" customWidth="1"/>
    <col min="7" max="7" width="14.7109375" customWidth="1"/>
    <col min="8" max="8" width="14.85546875" customWidth="1"/>
  </cols>
  <sheetData>
    <row r="2" spans="2:8" ht="17.25" customHeight="1" x14ac:dyDescent="0.25">
      <c r="B2" s="473" t="s">
        <v>413</v>
      </c>
      <c r="C2" s="474"/>
      <c r="D2" s="474"/>
      <c r="E2" s="474"/>
      <c r="F2" s="474"/>
      <c r="G2" s="474"/>
      <c r="H2" s="476"/>
    </row>
    <row r="3" spans="2:8" ht="26.25" customHeight="1" x14ac:dyDescent="0.25">
      <c r="B3" s="62" t="s">
        <v>0</v>
      </c>
      <c r="C3" s="435" t="s">
        <v>374</v>
      </c>
      <c r="D3" s="435"/>
      <c r="E3" s="435" t="s">
        <v>375</v>
      </c>
      <c r="F3" s="435"/>
      <c r="G3" s="435"/>
      <c r="H3" s="46"/>
    </row>
    <row r="4" spans="2:8" ht="31.5" customHeight="1" x14ac:dyDescent="0.25">
      <c r="B4" s="61"/>
      <c r="C4" s="46" t="s">
        <v>1</v>
      </c>
      <c r="D4" s="44" t="s">
        <v>2</v>
      </c>
      <c r="E4" s="63" t="s">
        <v>1</v>
      </c>
      <c r="F4" s="44" t="s">
        <v>2</v>
      </c>
      <c r="G4" s="46" t="s">
        <v>21</v>
      </c>
      <c r="H4" s="46" t="s">
        <v>123</v>
      </c>
    </row>
    <row r="5" spans="2:8" ht="33.75" customHeight="1" x14ac:dyDescent="0.25">
      <c r="B5" s="64" t="s">
        <v>402</v>
      </c>
      <c r="C5" s="586" t="s">
        <v>401</v>
      </c>
      <c r="D5" s="586"/>
      <c r="E5" s="587"/>
      <c r="F5" s="587"/>
      <c r="G5" s="175"/>
      <c r="H5" s="175"/>
    </row>
    <row r="6" spans="2:8" ht="24" customHeight="1" x14ac:dyDescent="0.25">
      <c r="B6" s="64" t="s">
        <v>403</v>
      </c>
      <c r="C6" s="586" t="s">
        <v>401</v>
      </c>
      <c r="D6" s="586"/>
      <c r="E6" s="587"/>
      <c r="F6" s="587"/>
      <c r="G6" s="175"/>
      <c r="H6" s="175"/>
    </row>
    <row r="7" spans="2:8" ht="28.5" customHeight="1" x14ac:dyDescent="0.25">
      <c r="B7" s="64" t="s">
        <v>404</v>
      </c>
      <c r="C7" s="586" t="s">
        <v>401</v>
      </c>
      <c r="D7" s="586"/>
      <c r="E7" s="176"/>
      <c r="F7" s="64" t="s">
        <v>16</v>
      </c>
      <c r="G7" s="175"/>
      <c r="H7" s="175"/>
    </row>
    <row r="8" spans="2:8" ht="36" customHeight="1" x14ac:dyDescent="0.25">
      <c r="B8" s="64" t="s">
        <v>405</v>
      </c>
      <c r="C8" s="586" t="s">
        <v>401</v>
      </c>
      <c r="D8" s="586"/>
      <c r="E8" s="176"/>
      <c r="F8" s="64" t="s">
        <v>412</v>
      </c>
      <c r="G8" s="175"/>
      <c r="H8" s="175"/>
    </row>
    <row r="9" spans="2:8" ht="21.75" customHeight="1" x14ac:dyDescent="0.25">
      <c r="B9" s="64" t="s">
        <v>406</v>
      </c>
      <c r="C9" s="586" t="s">
        <v>401</v>
      </c>
      <c r="D9" s="586"/>
      <c r="E9" s="176"/>
      <c r="F9" s="64" t="s">
        <v>412</v>
      </c>
      <c r="G9" s="175"/>
      <c r="H9" s="175"/>
    </row>
    <row r="10" spans="2:8" ht="24" customHeight="1" x14ac:dyDescent="0.25">
      <c r="B10" s="64" t="s">
        <v>407</v>
      </c>
      <c r="C10" s="586" t="s">
        <v>401</v>
      </c>
      <c r="D10" s="586"/>
      <c r="E10" s="587"/>
      <c r="F10" s="587"/>
      <c r="G10" s="175"/>
      <c r="H10" s="175"/>
    </row>
    <row r="11" spans="2:8" ht="24" customHeight="1" x14ac:dyDescent="0.25">
      <c r="B11" s="64" t="s">
        <v>408</v>
      </c>
      <c r="C11" s="586" t="s">
        <v>401</v>
      </c>
      <c r="D11" s="586"/>
      <c r="E11" s="587"/>
      <c r="F11" s="587"/>
      <c r="G11" s="175"/>
      <c r="H11" s="175"/>
    </row>
    <row r="12" spans="2:8" ht="36" customHeight="1" x14ac:dyDescent="0.25">
      <c r="B12" s="64" t="s">
        <v>409</v>
      </c>
      <c r="C12" s="586" t="s">
        <v>401</v>
      </c>
      <c r="D12" s="586"/>
      <c r="E12" s="588"/>
      <c r="F12" s="589"/>
      <c r="G12" s="175"/>
      <c r="H12" s="175"/>
    </row>
    <row r="13" spans="2:8" ht="33" customHeight="1" x14ac:dyDescent="0.25">
      <c r="B13" s="64" t="s">
        <v>410</v>
      </c>
      <c r="C13" s="586" t="s">
        <v>401</v>
      </c>
      <c r="D13" s="586"/>
      <c r="E13" s="587"/>
      <c r="F13" s="587"/>
      <c r="G13" s="175"/>
      <c r="H13" s="175"/>
    </row>
    <row r="14" spans="2:8" ht="23.25" customHeight="1" x14ac:dyDescent="0.25">
      <c r="B14" s="64" t="s">
        <v>411</v>
      </c>
      <c r="C14" s="586" t="s">
        <v>401</v>
      </c>
      <c r="D14" s="586"/>
      <c r="E14" s="587"/>
      <c r="F14" s="587"/>
      <c r="G14" s="175"/>
      <c r="H14" s="175"/>
    </row>
    <row r="15" spans="2:8" x14ac:dyDescent="0.25">
      <c r="B15" s="58" t="s">
        <v>353</v>
      </c>
      <c r="C15" s="586" t="s">
        <v>401</v>
      </c>
      <c r="D15" s="586"/>
      <c r="E15" s="587"/>
      <c r="F15" s="587"/>
      <c r="G15" s="175"/>
      <c r="H15" s="175"/>
    </row>
    <row r="16" spans="2:8" x14ac:dyDescent="0.25">
      <c r="B16" s="65" t="s">
        <v>353</v>
      </c>
      <c r="C16" s="586" t="s">
        <v>401</v>
      </c>
      <c r="D16" s="586"/>
      <c r="E16" s="587"/>
      <c r="F16" s="587"/>
      <c r="G16" s="175"/>
      <c r="H16" s="175"/>
    </row>
    <row r="17" spans="2:8" x14ac:dyDescent="0.25">
      <c r="B17" s="65" t="s">
        <v>353</v>
      </c>
      <c r="C17" s="586" t="s">
        <v>401</v>
      </c>
      <c r="D17" s="586"/>
      <c r="E17" s="587"/>
      <c r="F17" s="587"/>
      <c r="G17" s="175"/>
      <c r="H17" s="175"/>
    </row>
    <row r="18" spans="2:8" x14ac:dyDescent="0.25">
      <c r="B18" s="65" t="s">
        <v>353</v>
      </c>
      <c r="C18" s="586" t="s">
        <v>401</v>
      </c>
      <c r="D18" s="586"/>
      <c r="E18" s="587"/>
      <c r="F18" s="587"/>
      <c r="G18" s="175"/>
      <c r="H18" s="175"/>
    </row>
  </sheetData>
  <sheetProtection password="C5B9" sheet="1" objects="1" scenarios="1"/>
  <mergeCells count="28">
    <mergeCell ref="E11:F11"/>
    <mergeCell ref="B2:H2"/>
    <mergeCell ref="C3:D3"/>
    <mergeCell ref="E3:G3"/>
    <mergeCell ref="C5:D5"/>
    <mergeCell ref="E5:F5"/>
    <mergeCell ref="C6:D6"/>
    <mergeCell ref="C7:D7"/>
    <mergeCell ref="C8:D8"/>
    <mergeCell ref="C9:D9"/>
    <mergeCell ref="C10:D10"/>
    <mergeCell ref="C11:D11"/>
    <mergeCell ref="C17:D17"/>
    <mergeCell ref="C18:D18"/>
    <mergeCell ref="E6:F6"/>
    <mergeCell ref="E10:F10"/>
    <mergeCell ref="E13:F13"/>
    <mergeCell ref="E14:F14"/>
    <mergeCell ref="E16:F16"/>
    <mergeCell ref="E17:F17"/>
    <mergeCell ref="E18:F18"/>
    <mergeCell ref="C15:D15"/>
    <mergeCell ref="E15:F15"/>
    <mergeCell ref="C16:D16"/>
    <mergeCell ref="C12:D12"/>
    <mergeCell ref="E12:F12"/>
    <mergeCell ref="C13:D13"/>
    <mergeCell ref="C14:D14"/>
  </mergeCells>
  <pageMargins left="0.25" right="0.25" top="0.75" bottom="0.75" header="0.3" footer="0.3"/>
  <pageSetup scale="80" orientation="portrait" r:id="rId1"/>
  <headerFooter>
    <oddHeader>&amp;L&amp;G&amp;C&amp;G</oddHeader>
    <oddFooter>&amp;RNovember 2016</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4BACC6"/>
  </sheetPr>
  <dimension ref="A2:D41"/>
  <sheetViews>
    <sheetView tabSelected="1" workbookViewId="0"/>
  </sheetViews>
  <sheetFormatPr defaultRowHeight="15" x14ac:dyDescent="0.25"/>
  <cols>
    <col min="2" max="2" width="33.140625" customWidth="1"/>
    <col min="3" max="3" width="13.7109375" customWidth="1"/>
    <col min="4" max="4" width="15.140625" style="281" customWidth="1"/>
  </cols>
  <sheetData>
    <row r="2" spans="1:2" x14ac:dyDescent="0.25">
      <c r="A2" t="s">
        <v>826</v>
      </c>
    </row>
    <row r="3" spans="1:2" x14ac:dyDescent="0.25">
      <c r="B3" t="s">
        <v>824</v>
      </c>
    </row>
    <row r="4" spans="1:2" x14ac:dyDescent="0.25">
      <c r="B4" t="s">
        <v>825</v>
      </c>
    </row>
    <row r="5" spans="1:2" x14ac:dyDescent="0.25">
      <c r="B5" t="s">
        <v>827</v>
      </c>
    </row>
    <row r="6" spans="1:2" x14ac:dyDescent="0.25">
      <c r="B6" t="s">
        <v>828</v>
      </c>
    </row>
    <row r="7" spans="1:2" x14ac:dyDescent="0.25">
      <c r="B7" t="s">
        <v>829</v>
      </c>
    </row>
    <row r="8" spans="1:2" x14ac:dyDescent="0.25">
      <c r="B8" t="s">
        <v>830</v>
      </c>
    </row>
    <row r="9" spans="1:2" x14ac:dyDescent="0.25">
      <c r="B9" t="s">
        <v>831</v>
      </c>
    </row>
    <row r="10" spans="1:2" x14ac:dyDescent="0.25">
      <c r="B10" t="s">
        <v>832</v>
      </c>
    </row>
    <row r="11" spans="1:2" x14ac:dyDescent="0.25">
      <c r="B11" t="s">
        <v>833</v>
      </c>
    </row>
    <row r="12" spans="1:2" x14ac:dyDescent="0.25">
      <c r="B12" t="s">
        <v>954</v>
      </c>
    </row>
    <row r="13" spans="1:2" x14ac:dyDescent="0.25">
      <c r="B13" t="s">
        <v>862</v>
      </c>
    </row>
    <row r="14" spans="1:2" x14ac:dyDescent="0.25">
      <c r="B14" t="s">
        <v>834</v>
      </c>
    </row>
    <row r="16" spans="1:2" x14ac:dyDescent="0.25">
      <c r="A16" t="s">
        <v>835</v>
      </c>
    </row>
    <row r="17" spans="1:4" x14ac:dyDescent="0.25">
      <c r="B17" s="71" t="s">
        <v>433</v>
      </c>
    </row>
    <row r="18" spans="1:4" x14ac:dyDescent="0.25">
      <c r="B18" s="72" t="s">
        <v>434</v>
      </c>
    </row>
    <row r="19" spans="1:4" x14ac:dyDescent="0.25">
      <c r="B19" s="266" t="s">
        <v>839</v>
      </c>
    </row>
    <row r="20" spans="1:4" x14ac:dyDescent="0.25">
      <c r="B20" s="73" t="s">
        <v>435</v>
      </c>
    </row>
    <row r="21" spans="1:4" x14ac:dyDescent="0.25">
      <c r="B21" s="74" t="s">
        <v>836</v>
      </c>
    </row>
    <row r="23" spans="1:4" x14ac:dyDescent="0.25">
      <c r="A23" t="s">
        <v>987</v>
      </c>
    </row>
    <row r="24" spans="1:4" x14ac:dyDescent="0.25">
      <c r="A24" t="s">
        <v>951</v>
      </c>
    </row>
    <row r="28" spans="1:4" x14ac:dyDescent="0.25">
      <c r="B28" t="s">
        <v>838</v>
      </c>
    </row>
    <row r="29" spans="1:4" x14ac:dyDescent="0.25">
      <c r="B29" t="s">
        <v>864</v>
      </c>
    </row>
    <row r="30" spans="1:4" x14ac:dyDescent="0.25">
      <c r="B30" t="s">
        <v>876</v>
      </c>
    </row>
    <row r="32" spans="1:4" x14ac:dyDescent="0.25">
      <c r="B32" s="278" t="s">
        <v>867</v>
      </c>
      <c r="C32" s="278"/>
      <c r="D32" s="282"/>
    </row>
    <row r="33" spans="1:4" ht="18" x14ac:dyDescent="0.25">
      <c r="B33" s="279" t="s">
        <v>868</v>
      </c>
      <c r="C33" s="277">
        <v>8.4680000000000005E-2</v>
      </c>
      <c r="D33" s="280" t="s">
        <v>869</v>
      </c>
    </row>
    <row r="34" spans="1:4" ht="18" x14ac:dyDescent="0.25">
      <c r="B34" s="279" t="s">
        <v>870</v>
      </c>
      <c r="C34" s="277">
        <v>5.3109999999999997E-2</v>
      </c>
      <c r="D34" s="280" t="s">
        <v>869</v>
      </c>
    </row>
    <row r="35" spans="1:4" ht="18" x14ac:dyDescent="0.25">
      <c r="B35" s="279" t="s">
        <v>871</v>
      </c>
      <c r="C35" s="277">
        <v>7.4209999999999998E-2</v>
      </c>
      <c r="D35" s="280" t="s">
        <v>869</v>
      </c>
    </row>
    <row r="36" spans="1:4" ht="18" x14ac:dyDescent="0.25">
      <c r="B36" s="279" t="s">
        <v>872</v>
      </c>
      <c r="C36" s="277">
        <v>7.5289999999999996E-2</v>
      </c>
      <c r="D36" s="280" t="s">
        <v>869</v>
      </c>
    </row>
    <row r="37" spans="1:4" ht="18" x14ac:dyDescent="0.25">
      <c r="B37" s="279" t="s">
        <v>873</v>
      </c>
      <c r="C37" s="277">
        <v>7.2929999999999995E-2</v>
      </c>
      <c r="D37" s="280" t="s">
        <v>869</v>
      </c>
    </row>
    <row r="38" spans="1:4" ht="18" x14ac:dyDescent="0.25">
      <c r="B38" s="279" t="s">
        <v>874</v>
      </c>
      <c r="C38" s="277">
        <v>7.51E-2</v>
      </c>
      <c r="D38" s="280" t="s">
        <v>869</v>
      </c>
    </row>
    <row r="39" spans="1:4" ht="18" x14ac:dyDescent="0.25">
      <c r="B39" s="279" t="s">
        <v>875</v>
      </c>
      <c r="C39" s="277">
        <v>4.4929999999999998E-2</v>
      </c>
      <c r="D39" s="280" t="s">
        <v>869</v>
      </c>
    </row>
    <row r="41" spans="1:4" x14ac:dyDescent="0.25">
      <c r="A41" t="s">
        <v>840</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S121"/>
  <sheetViews>
    <sheetView topLeftCell="A97" workbookViewId="0">
      <selection activeCell="A127" sqref="A127"/>
    </sheetView>
  </sheetViews>
  <sheetFormatPr defaultRowHeight="15" x14ac:dyDescent="0.25"/>
  <cols>
    <col min="1" max="1" width="35.85546875" bestFit="1" customWidth="1"/>
    <col min="3" max="3" width="8.7109375" customWidth="1"/>
    <col min="13" max="13" width="14.28515625" bestFit="1" customWidth="1"/>
  </cols>
  <sheetData>
    <row r="1" spans="1:19" x14ac:dyDescent="0.25">
      <c r="A1" t="s">
        <v>149</v>
      </c>
      <c r="M1">
        <v>40</v>
      </c>
      <c r="N1" t="s">
        <v>202</v>
      </c>
      <c r="P1" t="s">
        <v>16</v>
      </c>
      <c r="Q1" t="s">
        <v>33</v>
      </c>
      <c r="R1" t="s">
        <v>16</v>
      </c>
    </row>
    <row r="2" spans="1:19" x14ac:dyDescent="0.25">
      <c r="A2" t="s">
        <v>150</v>
      </c>
      <c r="N2" t="s">
        <v>203</v>
      </c>
      <c r="P2" t="s">
        <v>333</v>
      </c>
      <c r="Q2" t="s">
        <v>345</v>
      </c>
      <c r="R2" t="s">
        <v>323</v>
      </c>
    </row>
    <row r="3" spans="1:19" x14ac:dyDescent="0.25">
      <c r="A3" t="s">
        <v>195</v>
      </c>
    </row>
    <row r="4" spans="1:19" x14ac:dyDescent="0.25">
      <c r="B4" t="s">
        <v>149</v>
      </c>
      <c r="C4" t="s">
        <v>150</v>
      </c>
      <c r="D4" t="s">
        <v>195</v>
      </c>
      <c r="G4" t="s">
        <v>149</v>
      </c>
      <c r="H4" t="s">
        <v>150</v>
      </c>
      <c r="I4" t="s">
        <v>195</v>
      </c>
      <c r="N4" t="s">
        <v>558</v>
      </c>
      <c r="P4" t="s">
        <v>334</v>
      </c>
      <c r="Q4" t="s">
        <v>355</v>
      </c>
      <c r="R4" t="s">
        <v>357</v>
      </c>
      <c r="S4" t="s">
        <v>338</v>
      </c>
    </row>
    <row r="5" spans="1:19" x14ac:dyDescent="0.25">
      <c r="A5" t="s">
        <v>151</v>
      </c>
      <c r="B5" t="s">
        <v>453</v>
      </c>
      <c r="C5" t="s">
        <v>453</v>
      </c>
      <c r="D5" t="s">
        <v>454</v>
      </c>
      <c r="F5" t="s">
        <v>151</v>
      </c>
      <c r="G5" t="s">
        <v>563</v>
      </c>
      <c r="H5" t="s">
        <v>563</v>
      </c>
      <c r="I5" t="s">
        <v>564</v>
      </c>
      <c r="N5" t="s">
        <v>559</v>
      </c>
      <c r="P5" t="s">
        <v>335</v>
      </c>
      <c r="Q5" t="s">
        <v>26</v>
      </c>
      <c r="R5" t="s">
        <v>358</v>
      </c>
      <c r="S5" t="s">
        <v>359</v>
      </c>
    </row>
    <row r="6" spans="1:19" ht="18" x14ac:dyDescent="0.35">
      <c r="A6" t="s">
        <v>455</v>
      </c>
      <c r="B6" t="s">
        <v>456</v>
      </c>
      <c r="C6" t="s">
        <v>456</v>
      </c>
      <c r="D6" t="s">
        <v>457</v>
      </c>
      <c r="F6" t="s">
        <v>455</v>
      </c>
      <c r="G6" t="s">
        <v>563</v>
      </c>
      <c r="H6" t="s">
        <v>563</v>
      </c>
      <c r="I6" t="s">
        <v>564</v>
      </c>
      <c r="P6" t="s">
        <v>336</v>
      </c>
      <c r="Q6" t="s">
        <v>16</v>
      </c>
      <c r="S6" t="s">
        <v>360</v>
      </c>
    </row>
    <row r="7" spans="1:19" x14ac:dyDescent="0.25">
      <c r="A7" t="s">
        <v>458</v>
      </c>
      <c r="B7" t="s">
        <v>153</v>
      </c>
      <c r="C7" t="s">
        <v>153</v>
      </c>
      <c r="D7" t="s">
        <v>459</v>
      </c>
      <c r="F7" t="s">
        <v>458</v>
      </c>
      <c r="G7" t="s">
        <v>563</v>
      </c>
      <c r="H7" t="s">
        <v>563</v>
      </c>
      <c r="I7" t="s">
        <v>564</v>
      </c>
      <c r="P7" t="s">
        <v>337</v>
      </c>
      <c r="Q7" t="s">
        <v>356</v>
      </c>
      <c r="S7" t="s">
        <v>337</v>
      </c>
    </row>
    <row r="8" spans="1:19" x14ac:dyDescent="0.25">
      <c r="A8" t="s">
        <v>152</v>
      </c>
      <c r="B8" t="s">
        <v>460</v>
      </c>
      <c r="C8" t="s">
        <v>461</v>
      </c>
      <c r="D8" t="s">
        <v>460</v>
      </c>
      <c r="F8" t="s">
        <v>152</v>
      </c>
      <c r="G8" t="s">
        <v>563</v>
      </c>
      <c r="H8" t="s">
        <v>563</v>
      </c>
      <c r="I8" t="s">
        <v>564</v>
      </c>
      <c r="S8" t="s">
        <v>361</v>
      </c>
    </row>
    <row r="10" spans="1:19" x14ac:dyDescent="0.25">
      <c r="B10" t="s">
        <v>149</v>
      </c>
      <c r="C10" t="s">
        <v>150</v>
      </c>
      <c r="D10" t="s">
        <v>195</v>
      </c>
      <c r="G10" t="s">
        <v>149</v>
      </c>
      <c r="H10" t="s">
        <v>150</v>
      </c>
      <c r="I10" t="s">
        <v>195</v>
      </c>
    </row>
    <row r="11" spans="1:19" x14ac:dyDescent="0.25">
      <c r="A11" t="s">
        <v>151</v>
      </c>
      <c r="B11">
        <v>0.4</v>
      </c>
      <c r="C11">
        <v>0.4</v>
      </c>
      <c r="D11" t="s">
        <v>432</v>
      </c>
      <c r="F11" t="s">
        <v>151</v>
      </c>
      <c r="G11">
        <v>0.39</v>
      </c>
      <c r="H11">
        <v>0.39</v>
      </c>
      <c r="I11" t="s">
        <v>432</v>
      </c>
      <c r="M11" t="s">
        <v>452</v>
      </c>
      <c r="N11">
        <v>0.57999999999999996</v>
      </c>
    </row>
    <row r="12" spans="1:19" x14ac:dyDescent="0.25">
      <c r="A12" t="s">
        <v>455</v>
      </c>
      <c r="B12">
        <v>0.4</v>
      </c>
      <c r="C12">
        <v>0.4</v>
      </c>
      <c r="D12" t="s">
        <v>432</v>
      </c>
      <c r="F12" t="s">
        <v>455</v>
      </c>
      <c r="G12">
        <v>0.39</v>
      </c>
      <c r="H12">
        <v>0.39</v>
      </c>
      <c r="I12" t="s">
        <v>432</v>
      </c>
      <c r="M12" t="s">
        <v>448</v>
      </c>
      <c r="N12">
        <v>0.56999999999999995</v>
      </c>
    </row>
    <row r="13" spans="1:19" x14ac:dyDescent="0.25">
      <c r="A13" t="s">
        <v>458</v>
      </c>
      <c r="B13">
        <v>0.4</v>
      </c>
      <c r="C13">
        <v>0.4</v>
      </c>
      <c r="D13" t="s">
        <v>432</v>
      </c>
      <c r="F13" t="s">
        <v>458</v>
      </c>
      <c r="G13">
        <v>0.39</v>
      </c>
      <c r="H13">
        <v>0.39</v>
      </c>
      <c r="I13" t="s">
        <v>432</v>
      </c>
      <c r="M13" t="s">
        <v>449</v>
      </c>
      <c r="N13">
        <v>0.62</v>
      </c>
    </row>
    <row r="14" spans="1:19" x14ac:dyDescent="0.25">
      <c r="A14" t="s">
        <v>152</v>
      </c>
      <c r="B14">
        <v>0.4</v>
      </c>
      <c r="C14">
        <v>0.4</v>
      </c>
      <c r="D14" t="s">
        <v>432</v>
      </c>
      <c r="F14" t="s">
        <v>152</v>
      </c>
      <c r="G14">
        <v>0.39</v>
      </c>
      <c r="H14">
        <v>0.39</v>
      </c>
      <c r="I14" t="s">
        <v>432</v>
      </c>
      <c r="M14" t="s">
        <v>222</v>
      </c>
      <c r="N14">
        <v>0.78</v>
      </c>
    </row>
    <row r="15" spans="1:19" x14ac:dyDescent="0.25">
      <c r="M15" t="s">
        <v>224</v>
      </c>
      <c r="N15">
        <v>0.57999999999999996</v>
      </c>
    </row>
    <row r="16" spans="1:19" x14ac:dyDescent="0.25">
      <c r="A16" t="s">
        <v>565</v>
      </c>
      <c r="B16" t="s">
        <v>149</v>
      </c>
      <c r="C16" t="s">
        <v>150</v>
      </c>
      <c r="D16" t="s">
        <v>195</v>
      </c>
      <c r="F16" t="s">
        <v>565</v>
      </c>
      <c r="G16" t="s">
        <v>149</v>
      </c>
      <c r="H16" t="s">
        <v>150</v>
      </c>
      <c r="I16" t="s">
        <v>195</v>
      </c>
      <c r="M16" t="s">
        <v>450</v>
      </c>
      <c r="N16">
        <v>0.57999999999999996</v>
      </c>
    </row>
    <row r="17" spans="1:14" x14ac:dyDescent="0.25">
      <c r="A17" t="s">
        <v>566</v>
      </c>
      <c r="B17" t="s">
        <v>153</v>
      </c>
      <c r="C17" t="s">
        <v>153</v>
      </c>
      <c r="D17" t="s">
        <v>462</v>
      </c>
      <c r="F17" t="s">
        <v>566</v>
      </c>
      <c r="G17" t="s">
        <v>568</v>
      </c>
      <c r="H17" t="s">
        <v>191</v>
      </c>
      <c r="I17" t="s">
        <v>569</v>
      </c>
      <c r="M17" t="s">
        <v>230</v>
      </c>
      <c r="N17">
        <v>0.55000000000000004</v>
      </c>
    </row>
    <row r="18" spans="1:14" x14ac:dyDescent="0.25">
      <c r="A18" t="s">
        <v>567</v>
      </c>
      <c r="B18" t="s">
        <v>153</v>
      </c>
      <c r="C18" t="s">
        <v>153</v>
      </c>
      <c r="D18" t="s">
        <v>462</v>
      </c>
      <c r="F18" t="s">
        <v>567</v>
      </c>
      <c r="G18" t="s">
        <v>568</v>
      </c>
      <c r="H18" t="s">
        <v>191</v>
      </c>
      <c r="I18" t="s">
        <v>569</v>
      </c>
      <c r="M18" t="s">
        <v>451</v>
      </c>
      <c r="N18">
        <v>0.49</v>
      </c>
    </row>
    <row r="19" spans="1:14" x14ac:dyDescent="0.25">
      <c r="M19" t="s">
        <v>235</v>
      </c>
      <c r="N19">
        <v>0.57999999999999996</v>
      </c>
    </row>
    <row r="20" spans="1:14" x14ac:dyDescent="0.25">
      <c r="A20" t="s">
        <v>565</v>
      </c>
      <c r="B20" t="s">
        <v>149</v>
      </c>
      <c r="C20" t="s">
        <v>150</v>
      </c>
      <c r="D20" t="s">
        <v>195</v>
      </c>
      <c r="F20" t="s">
        <v>565</v>
      </c>
      <c r="G20" t="s">
        <v>149</v>
      </c>
      <c r="H20" t="s">
        <v>150</v>
      </c>
      <c r="I20" t="s">
        <v>195</v>
      </c>
    </row>
    <row r="21" spans="1:14" x14ac:dyDescent="0.25">
      <c r="A21" t="s">
        <v>566</v>
      </c>
      <c r="B21">
        <v>0.4</v>
      </c>
      <c r="C21">
        <v>0.4</v>
      </c>
      <c r="D21" t="s">
        <v>432</v>
      </c>
      <c r="F21" t="s">
        <v>566</v>
      </c>
      <c r="G21">
        <v>0.49</v>
      </c>
      <c r="H21">
        <v>0.36</v>
      </c>
      <c r="I21" t="s">
        <v>432</v>
      </c>
    </row>
    <row r="22" spans="1:14" x14ac:dyDescent="0.25">
      <c r="A22" t="s">
        <v>567</v>
      </c>
      <c r="B22">
        <v>0.4</v>
      </c>
      <c r="C22">
        <v>0.4</v>
      </c>
      <c r="D22" t="s">
        <v>432</v>
      </c>
      <c r="F22" t="s">
        <v>567</v>
      </c>
      <c r="G22">
        <v>0.39</v>
      </c>
      <c r="H22">
        <v>0.19</v>
      </c>
      <c r="I22" t="s">
        <v>432</v>
      </c>
      <c r="M22" t="s">
        <v>601</v>
      </c>
      <c r="N22" s="87">
        <v>7</v>
      </c>
    </row>
    <row r="23" spans="1:14" x14ac:dyDescent="0.25">
      <c r="M23" t="s">
        <v>602</v>
      </c>
      <c r="N23" s="87">
        <v>21</v>
      </c>
    </row>
    <row r="24" spans="1:14" x14ac:dyDescent="0.25">
      <c r="B24" t="s">
        <v>149</v>
      </c>
      <c r="C24" t="s">
        <v>150</v>
      </c>
      <c r="D24" t="s">
        <v>195</v>
      </c>
      <c r="G24" t="s">
        <v>149</v>
      </c>
      <c r="H24" t="s">
        <v>150</v>
      </c>
      <c r="I24" t="s">
        <v>195</v>
      </c>
      <c r="M24" t="s">
        <v>218</v>
      </c>
      <c r="N24" s="87">
        <v>27</v>
      </c>
    </row>
    <row r="25" spans="1:14" x14ac:dyDescent="0.25">
      <c r="A25" t="s">
        <v>169</v>
      </c>
      <c r="B25" t="s">
        <v>463</v>
      </c>
      <c r="C25" t="s">
        <v>463</v>
      </c>
      <c r="D25" t="s">
        <v>464</v>
      </c>
      <c r="F25" t="s">
        <v>169</v>
      </c>
      <c r="G25" t="s">
        <v>570</v>
      </c>
      <c r="H25" t="s">
        <v>570</v>
      </c>
      <c r="I25" t="s">
        <v>571</v>
      </c>
      <c r="M25" t="s">
        <v>603</v>
      </c>
      <c r="N25" s="87">
        <v>24</v>
      </c>
    </row>
    <row r="26" spans="1:14" x14ac:dyDescent="0.25">
      <c r="A26" t="s">
        <v>170</v>
      </c>
      <c r="B26" t="s">
        <v>465</v>
      </c>
      <c r="C26" t="s">
        <v>465</v>
      </c>
      <c r="D26" t="s">
        <v>466</v>
      </c>
      <c r="F26" t="s">
        <v>170</v>
      </c>
      <c r="G26" s="69" t="s">
        <v>574</v>
      </c>
      <c r="H26" s="69" t="s">
        <v>574</v>
      </c>
      <c r="I26" s="69" t="s">
        <v>574</v>
      </c>
      <c r="M26" t="s">
        <v>604</v>
      </c>
      <c r="N26" s="87">
        <v>34</v>
      </c>
    </row>
    <row r="27" spans="1:14" x14ac:dyDescent="0.25">
      <c r="A27" t="s">
        <v>171</v>
      </c>
      <c r="B27" t="s">
        <v>467</v>
      </c>
      <c r="C27" t="s">
        <v>467</v>
      </c>
      <c r="D27" t="s">
        <v>468</v>
      </c>
      <c r="F27" t="s">
        <v>171</v>
      </c>
      <c r="G27" s="69" t="s">
        <v>574</v>
      </c>
      <c r="H27" s="69" t="s">
        <v>574</v>
      </c>
      <c r="I27" s="69" t="s">
        <v>574</v>
      </c>
      <c r="M27" t="s">
        <v>222</v>
      </c>
      <c r="N27" s="87"/>
    </row>
    <row r="28" spans="1:14" x14ac:dyDescent="0.25">
      <c r="B28" t="s">
        <v>149</v>
      </c>
      <c r="C28" t="s">
        <v>150</v>
      </c>
      <c r="D28" t="s">
        <v>195</v>
      </c>
      <c r="G28" t="s">
        <v>149</v>
      </c>
      <c r="H28" t="s">
        <v>150</v>
      </c>
      <c r="I28" t="s">
        <v>195</v>
      </c>
      <c r="M28" t="s">
        <v>605</v>
      </c>
      <c r="N28" s="87">
        <v>19</v>
      </c>
    </row>
    <row r="29" spans="1:14" x14ac:dyDescent="0.25">
      <c r="A29" t="s">
        <v>172</v>
      </c>
      <c r="B29" t="s">
        <v>181</v>
      </c>
      <c r="C29" t="s">
        <v>189</v>
      </c>
      <c r="D29" t="s">
        <v>191</v>
      </c>
      <c r="F29" t="s">
        <v>172</v>
      </c>
      <c r="G29" s="69" t="s">
        <v>574</v>
      </c>
      <c r="H29" s="69" t="s">
        <v>574</v>
      </c>
      <c r="I29" s="69" t="s">
        <v>574</v>
      </c>
      <c r="M29" t="s">
        <v>607</v>
      </c>
      <c r="N29" s="87">
        <v>40</v>
      </c>
    </row>
    <row r="30" spans="1:14" x14ac:dyDescent="0.25">
      <c r="A30" t="s">
        <v>170</v>
      </c>
      <c r="B30" t="s">
        <v>469</v>
      </c>
      <c r="C30" t="s">
        <v>470</v>
      </c>
      <c r="D30" t="s">
        <v>471</v>
      </c>
      <c r="F30" t="s">
        <v>170</v>
      </c>
      <c r="G30" s="69" t="s">
        <v>574</v>
      </c>
      <c r="H30" s="69" t="s">
        <v>574</v>
      </c>
      <c r="I30" s="69" t="s">
        <v>574</v>
      </c>
      <c r="M30" t="s">
        <v>606</v>
      </c>
      <c r="N30" s="87">
        <v>31</v>
      </c>
    </row>
    <row r="31" spans="1:14" x14ac:dyDescent="0.25">
      <c r="A31" t="s">
        <v>173</v>
      </c>
      <c r="B31" t="s">
        <v>182</v>
      </c>
      <c r="C31" t="s">
        <v>182</v>
      </c>
      <c r="D31" t="s">
        <v>192</v>
      </c>
      <c r="F31" t="s">
        <v>173</v>
      </c>
      <c r="G31" t="s">
        <v>192</v>
      </c>
      <c r="H31" t="s">
        <v>182</v>
      </c>
      <c r="I31" t="s">
        <v>192</v>
      </c>
      <c r="M31" t="s">
        <v>615</v>
      </c>
      <c r="N31" s="87"/>
    </row>
    <row r="32" spans="1:14" x14ac:dyDescent="0.25">
      <c r="A32" t="s">
        <v>174</v>
      </c>
      <c r="B32" t="s">
        <v>182</v>
      </c>
      <c r="C32" t="s">
        <v>182</v>
      </c>
      <c r="D32" t="s">
        <v>183</v>
      </c>
      <c r="F32" t="s">
        <v>174</v>
      </c>
      <c r="G32" s="69" t="s">
        <v>574</v>
      </c>
      <c r="H32" s="69" t="s">
        <v>574</v>
      </c>
      <c r="I32" s="69" t="s">
        <v>574</v>
      </c>
      <c r="M32" t="s">
        <v>609</v>
      </c>
      <c r="N32" s="87">
        <v>24</v>
      </c>
    </row>
    <row r="33" spans="1:14" x14ac:dyDescent="0.25">
      <c r="B33" t="s">
        <v>149</v>
      </c>
      <c r="C33" t="s">
        <v>150</v>
      </c>
      <c r="D33" t="s">
        <v>195</v>
      </c>
      <c r="G33" t="s">
        <v>149</v>
      </c>
      <c r="H33" t="s">
        <v>150</v>
      </c>
      <c r="I33" t="s">
        <v>195</v>
      </c>
      <c r="M33" t="s">
        <v>608</v>
      </c>
      <c r="N33" s="87">
        <v>34</v>
      </c>
    </row>
    <row r="34" spans="1:14" x14ac:dyDescent="0.25">
      <c r="A34" t="s">
        <v>175</v>
      </c>
      <c r="B34" t="s">
        <v>190</v>
      </c>
      <c r="C34" t="s">
        <v>472</v>
      </c>
      <c r="D34" t="s">
        <v>184</v>
      </c>
      <c r="F34" t="s">
        <v>175</v>
      </c>
      <c r="G34" t="s">
        <v>184</v>
      </c>
      <c r="H34" t="s">
        <v>184</v>
      </c>
      <c r="I34" t="s">
        <v>184</v>
      </c>
      <c r="M34" t="s">
        <v>611</v>
      </c>
      <c r="N34" s="87">
        <v>20</v>
      </c>
    </row>
    <row r="35" spans="1:14" x14ac:dyDescent="0.25">
      <c r="B35" t="s">
        <v>149</v>
      </c>
      <c r="C35" t="s">
        <v>150</v>
      </c>
      <c r="D35" t="s">
        <v>195</v>
      </c>
      <c r="G35" t="s">
        <v>149</v>
      </c>
      <c r="H35" t="s">
        <v>150</v>
      </c>
      <c r="I35" t="s">
        <v>195</v>
      </c>
      <c r="M35" t="s">
        <v>610</v>
      </c>
      <c r="N35" s="87">
        <v>11</v>
      </c>
    </row>
    <row r="36" spans="1:14" x14ac:dyDescent="0.25">
      <c r="A36" t="s">
        <v>172</v>
      </c>
      <c r="B36" t="s">
        <v>473</v>
      </c>
      <c r="C36" t="s">
        <v>474</v>
      </c>
      <c r="D36" t="s">
        <v>475</v>
      </c>
      <c r="F36" t="s">
        <v>172</v>
      </c>
      <c r="G36" s="69" t="s">
        <v>574</v>
      </c>
      <c r="H36" s="69" t="s">
        <v>574</v>
      </c>
      <c r="I36" s="69" t="s">
        <v>574</v>
      </c>
      <c r="M36" t="s">
        <v>612</v>
      </c>
      <c r="N36" s="87">
        <v>22</v>
      </c>
    </row>
    <row r="37" spans="1:14" x14ac:dyDescent="0.25">
      <c r="A37" t="s">
        <v>176</v>
      </c>
      <c r="B37" t="s">
        <v>185</v>
      </c>
      <c r="C37" t="s">
        <v>185</v>
      </c>
      <c r="D37" t="s">
        <v>476</v>
      </c>
      <c r="F37" t="s">
        <v>176</v>
      </c>
      <c r="G37" t="s">
        <v>476</v>
      </c>
      <c r="H37" t="s">
        <v>185</v>
      </c>
      <c r="I37" t="s">
        <v>572</v>
      </c>
      <c r="M37" t="s">
        <v>613</v>
      </c>
      <c r="N37" s="87">
        <v>22</v>
      </c>
    </row>
    <row r="38" spans="1:14" x14ac:dyDescent="0.25">
      <c r="A38" t="s">
        <v>174</v>
      </c>
      <c r="B38" t="s">
        <v>186</v>
      </c>
      <c r="C38" t="s">
        <v>186</v>
      </c>
      <c r="D38" t="s">
        <v>474</v>
      </c>
      <c r="F38" t="s">
        <v>174</v>
      </c>
      <c r="G38" s="69" t="s">
        <v>574</v>
      </c>
      <c r="H38" s="69" t="s">
        <v>574</v>
      </c>
      <c r="I38" s="69" t="s">
        <v>574</v>
      </c>
      <c r="M38" t="s">
        <v>614</v>
      </c>
      <c r="N38" s="87">
        <v>6</v>
      </c>
    </row>
    <row r="39" spans="1:14" x14ac:dyDescent="0.25">
      <c r="B39" t="s">
        <v>149</v>
      </c>
      <c r="C39" t="s">
        <v>150</v>
      </c>
      <c r="D39" t="s">
        <v>195</v>
      </c>
      <c r="G39" t="s">
        <v>149</v>
      </c>
      <c r="H39" t="s">
        <v>150</v>
      </c>
      <c r="I39" t="s">
        <v>195</v>
      </c>
      <c r="N39" s="87"/>
    </row>
    <row r="40" spans="1:14" x14ac:dyDescent="0.25">
      <c r="A40" t="s">
        <v>177</v>
      </c>
      <c r="B40" t="s">
        <v>477</v>
      </c>
      <c r="C40" t="s">
        <v>477</v>
      </c>
      <c r="D40" t="s">
        <v>193</v>
      </c>
      <c r="F40" t="s">
        <v>177</v>
      </c>
      <c r="G40" t="s">
        <v>477</v>
      </c>
      <c r="H40" t="s">
        <v>573</v>
      </c>
      <c r="I40" t="s">
        <v>193</v>
      </c>
      <c r="N40" s="87"/>
    </row>
    <row r="41" spans="1:14" x14ac:dyDescent="0.25">
      <c r="A41" t="s">
        <v>178</v>
      </c>
      <c r="B41" t="s">
        <v>478</v>
      </c>
      <c r="C41" t="s">
        <v>479</v>
      </c>
      <c r="D41" t="s">
        <v>480</v>
      </c>
      <c r="F41" t="s">
        <v>178</v>
      </c>
      <c r="G41" s="69" t="s">
        <v>574</v>
      </c>
      <c r="H41" s="69" t="s">
        <v>574</v>
      </c>
      <c r="I41" s="69" t="s">
        <v>574</v>
      </c>
      <c r="N41" s="87"/>
    </row>
    <row r="42" spans="1:14" x14ac:dyDescent="0.25">
      <c r="B42" t="s">
        <v>149</v>
      </c>
      <c r="C42" t="s">
        <v>150</v>
      </c>
      <c r="D42" t="s">
        <v>195</v>
      </c>
      <c r="G42" t="s">
        <v>149</v>
      </c>
      <c r="H42" t="s">
        <v>150</v>
      </c>
      <c r="I42" t="s">
        <v>195</v>
      </c>
      <c r="N42" s="87"/>
    </row>
    <row r="43" spans="1:14" x14ac:dyDescent="0.25">
      <c r="A43" t="s">
        <v>179</v>
      </c>
      <c r="B43" t="s">
        <v>188</v>
      </c>
      <c r="C43" t="s">
        <v>188</v>
      </c>
      <c r="D43" t="s">
        <v>187</v>
      </c>
      <c r="F43" t="s">
        <v>179</v>
      </c>
      <c r="G43" t="s">
        <v>187</v>
      </c>
      <c r="H43" t="s">
        <v>187</v>
      </c>
      <c r="I43" t="s">
        <v>187</v>
      </c>
      <c r="N43" s="87"/>
    </row>
    <row r="44" spans="1:14" x14ac:dyDescent="0.25">
      <c r="A44" t="s">
        <v>180</v>
      </c>
      <c r="B44" t="s">
        <v>188</v>
      </c>
      <c r="C44" t="s">
        <v>188</v>
      </c>
      <c r="D44" t="s">
        <v>194</v>
      </c>
      <c r="F44" t="s">
        <v>180</v>
      </c>
      <c r="G44" t="s">
        <v>194</v>
      </c>
      <c r="H44" t="s">
        <v>188</v>
      </c>
      <c r="I44" t="s">
        <v>194</v>
      </c>
      <c r="N44" s="87"/>
    </row>
    <row r="48" spans="1:14" x14ac:dyDescent="0.25">
      <c r="A48" t="s">
        <v>590</v>
      </c>
      <c r="B48" t="s">
        <v>550</v>
      </c>
    </row>
    <row r="49" spans="1:2" x14ac:dyDescent="0.25">
      <c r="A49" t="s">
        <v>599</v>
      </c>
      <c r="B49" t="s">
        <v>552</v>
      </c>
    </row>
    <row r="50" spans="1:2" x14ac:dyDescent="0.25">
      <c r="A50" t="s">
        <v>600</v>
      </c>
      <c r="B50" t="s">
        <v>551</v>
      </c>
    </row>
    <row r="51" spans="1:2" x14ac:dyDescent="0.25">
      <c r="A51" t="s">
        <v>591</v>
      </c>
      <c r="B51" t="s">
        <v>550</v>
      </c>
    </row>
    <row r="52" spans="1:2" x14ac:dyDescent="0.25">
      <c r="A52" t="s">
        <v>592</v>
      </c>
      <c r="B52" t="s">
        <v>550</v>
      </c>
    </row>
    <row r="53" spans="1:2" x14ac:dyDescent="0.25">
      <c r="A53" t="s">
        <v>593</v>
      </c>
      <c r="B53" t="s">
        <v>550</v>
      </c>
    </row>
    <row r="54" spans="1:2" x14ac:dyDescent="0.25">
      <c r="A54" t="s">
        <v>594</v>
      </c>
      <c r="B54" t="s">
        <v>551</v>
      </c>
    </row>
    <row r="55" spans="1:2" x14ac:dyDescent="0.25">
      <c r="A55" t="s">
        <v>595</v>
      </c>
      <c r="B55" t="s">
        <v>551</v>
      </c>
    </row>
    <row r="56" spans="1:2" x14ac:dyDescent="0.25">
      <c r="A56" t="s">
        <v>596</v>
      </c>
      <c r="B56" t="s">
        <v>551</v>
      </c>
    </row>
    <row r="57" spans="1:2" x14ac:dyDescent="0.25">
      <c r="A57" t="s">
        <v>597</v>
      </c>
      <c r="B57" t="s">
        <v>552</v>
      </c>
    </row>
    <row r="58" spans="1:2" x14ac:dyDescent="0.25">
      <c r="A58" t="s">
        <v>598</v>
      </c>
      <c r="B58" t="s">
        <v>551</v>
      </c>
    </row>
    <row r="67" spans="1:3" x14ac:dyDescent="0.25">
      <c r="A67" t="s">
        <v>586</v>
      </c>
      <c r="B67" t="s">
        <v>580</v>
      </c>
      <c r="C67" t="s">
        <v>363</v>
      </c>
    </row>
    <row r="68" spans="1:3" x14ac:dyDescent="0.25">
      <c r="A68" t="s">
        <v>589</v>
      </c>
      <c r="B68" t="s">
        <v>577</v>
      </c>
      <c r="C68" t="s">
        <v>363</v>
      </c>
    </row>
    <row r="69" spans="1:3" x14ac:dyDescent="0.25">
      <c r="A69" t="s">
        <v>588</v>
      </c>
      <c r="B69" t="s">
        <v>578</v>
      </c>
      <c r="C69" t="s">
        <v>550</v>
      </c>
    </row>
    <row r="70" spans="1:3" x14ac:dyDescent="0.25">
      <c r="A70" t="s">
        <v>585</v>
      </c>
      <c r="B70" t="s">
        <v>579</v>
      </c>
      <c r="C70" t="s">
        <v>550</v>
      </c>
    </row>
    <row r="71" spans="1:3" x14ac:dyDescent="0.25">
      <c r="A71" t="s">
        <v>584</v>
      </c>
      <c r="B71" t="s">
        <v>578</v>
      </c>
      <c r="C71" t="s">
        <v>550</v>
      </c>
    </row>
    <row r="72" spans="1:3" x14ac:dyDescent="0.25">
      <c r="A72" t="s">
        <v>582</v>
      </c>
      <c r="B72" t="s">
        <v>577</v>
      </c>
      <c r="C72" t="s">
        <v>363</v>
      </c>
    </row>
    <row r="73" spans="1:3" x14ac:dyDescent="0.25">
      <c r="A73" t="s">
        <v>583</v>
      </c>
      <c r="B73" t="s">
        <v>581</v>
      </c>
      <c r="C73" t="s">
        <v>363</v>
      </c>
    </row>
    <row r="74" spans="1:3" x14ac:dyDescent="0.25">
      <c r="A74" t="s">
        <v>150</v>
      </c>
      <c r="B74" t="s">
        <v>576</v>
      </c>
      <c r="C74" t="s">
        <v>363</v>
      </c>
    </row>
    <row r="75" spans="1:3" x14ac:dyDescent="0.25">
      <c r="A75" t="s">
        <v>587</v>
      </c>
      <c r="B75" t="s">
        <v>577</v>
      </c>
      <c r="C75" t="s">
        <v>363</v>
      </c>
    </row>
    <row r="78" spans="1:3" x14ac:dyDescent="0.25">
      <c r="B78" t="s">
        <v>576</v>
      </c>
      <c r="C78" t="s">
        <v>363</v>
      </c>
    </row>
    <row r="79" spans="1:3" x14ac:dyDescent="0.25">
      <c r="B79" t="s">
        <v>581</v>
      </c>
      <c r="C79" t="s">
        <v>363</v>
      </c>
    </row>
    <row r="80" spans="1:3" x14ac:dyDescent="0.25">
      <c r="B80" t="s">
        <v>577</v>
      </c>
      <c r="C80" t="s">
        <v>363</v>
      </c>
    </row>
    <row r="81" spans="1:3" x14ac:dyDescent="0.25">
      <c r="B81" t="s">
        <v>577</v>
      </c>
      <c r="C81" t="s">
        <v>363</v>
      </c>
    </row>
    <row r="82" spans="1:3" x14ac:dyDescent="0.25">
      <c r="B82" t="s">
        <v>577</v>
      </c>
      <c r="C82" t="s">
        <v>363</v>
      </c>
    </row>
    <row r="83" spans="1:3" x14ac:dyDescent="0.25">
      <c r="B83" t="s">
        <v>578</v>
      </c>
      <c r="C83" t="s">
        <v>550</v>
      </c>
    </row>
    <row r="84" spans="1:3" x14ac:dyDescent="0.25">
      <c r="B84" t="s">
        <v>578</v>
      </c>
      <c r="C84" t="s">
        <v>550</v>
      </c>
    </row>
    <row r="85" spans="1:3" x14ac:dyDescent="0.25">
      <c r="B85" t="s">
        <v>579</v>
      </c>
      <c r="C85" t="s">
        <v>550</v>
      </c>
    </row>
    <row r="86" spans="1:3" x14ac:dyDescent="0.25">
      <c r="B86" t="s">
        <v>580</v>
      </c>
      <c r="C86" t="s">
        <v>363</v>
      </c>
    </row>
    <row r="89" spans="1:3" x14ac:dyDescent="0.25">
      <c r="A89" s="88" t="s">
        <v>617</v>
      </c>
      <c r="B89" t="s">
        <v>616</v>
      </c>
    </row>
    <row r="90" spans="1:3" x14ac:dyDescent="0.25">
      <c r="A90" s="7" t="s">
        <v>208</v>
      </c>
      <c r="B90" t="s">
        <v>616</v>
      </c>
    </row>
    <row r="91" spans="1:3" x14ac:dyDescent="0.25">
      <c r="A91" s="7" t="s">
        <v>209</v>
      </c>
      <c r="B91" t="s">
        <v>618</v>
      </c>
    </row>
    <row r="92" spans="1:3" x14ac:dyDescent="0.25">
      <c r="A92" s="7" t="s">
        <v>210</v>
      </c>
      <c r="B92" t="s">
        <v>618</v>
      </c>
    </row>
    <row r="93" spans="1:3" x14ac:dyDescent="0.25">
      <c r="A93" s="7" t="s">
        <v>211</v>
      </c>
      <c r="B93" t="s">
        <v>616</v>
      </c>
    </row>
    <row r="94" spans="1:3" x14ac:dyDescent="0.25">
      <c r="A94" s="7" t="s">
        <v>212</v>
      </c>
      <c r="B94" t="s">
        <v>616</v>
      </c>
    </row>
    <row r="95" spans="1:3" x14ac:dyDescent="0.25">
      <c r="A95" s="7" t="s">
        <v>213</v>
      </c>
      <c r="B95" t="s">
        <v>616</v>
      </c>
    </row>
    <row r="96" spans="1:3" x14ac:dyDescent="0.25">
      <c r="A96" s="7" t="s">
        <v>214</v>
      </c>
      <c r="B96" t="s">
        <v>616</v>
      </c>
    </row>
    <row r="97" spans="1:2" x14ac:dyDescent="0.25">
      <c r="A97" s="7" t="s">
        <v>215</v>
      </c>
      <c r="B97" t="s">
        <v>616</v>
      </c>
    </row>
    <row r="98" spans="1:2" x14ac:dyDescent="0.25">
      <c r="A98" s="7" t="s">
        <v>248</v>
      </c>
      <c r="B98" t="s">
        <v>616</v>
      </c>
    </row>
    <row r="99" spans="1:2" x14ac:dyDescent="0.25">
      <c r="A99" s="7" t="s">
        <v>216</v>
      </c>
      <c r="B99" t="s">
        <v>616</v>
      </c>
    </row>
    <row r="100" spans="1:2" x14ac:dyDescent="0.25">
      <c r="A100" s="7" t="s">
        <v>217</v>
      </c>
      <c r="B100" t="s">
        <v>616</v>
      </c>
    </row>
    <row r="101" spans="1:2" x14ac:dyDescent="0.25">
      <c r="A101" s="7" t="s">
        <v>218</v>
      </c>
      <c r="B101" t="s">
        <v>616</v>
      </c>
    </row>
    <row r="102" spans="1:2" x14ac:dyDescent="0.25">
      <c r="A102" s="7" t="s">
        <v>482</v>
      </c>
      <c r="B102" t="s">
        <v>616</v>
      </c>
    </row>
    <row r="103" spans="1:2" x14ac:dyDescent="0.25">
      <c r="A103" s="7" t="s">
        <v>219</v>
      </c>
      <c r="B103" t="s">
        <v>618</v>
      </c>
    </row>
    <row r="104" spans="1:2" x14ac:dyDescent="0.25">
      <c r="A104" s="7" t="s">
        <v>220</v>
      </c>
      <c r="B104" t="s">
        <v>616</v>
      </c>
    </row>
    <row r="105" spans="1:2" x14ac:dyDescent="0.25">
      <c r="A105" s="7" t="s">
        <v>221</v>
      </c>
      <c r="B105" t="s">
        <v>618</v>
      </c>
    </row>
    <row r="106" spans="1:2" x14ac:dyDescent="0.25">
      <c r="A106" s="7" t="s">
        <v>222</v>
      </c>
      <c r="B106" t="s">
        <v>616</v>
      </c>
    </row>
    <row r="107" spans="1:2" x14ac:dyDescent="0.25">
      <c r="A107" s="7" t="s">
        <v>223</v>
      </c>
      <c r="B107" t="s">
        <v>618</v>
      </c>
    </row>
    <row r="108" spans="1:2" x14ac:dyDescent="0.25">
      <c r="A108" s="7" t="s">
        <v>224</v>
      </c>
      <c r="B108" t="s">
        <v>618</v>
      </c>
    </row>
    <row r="109" spans="1:2" x14ac:dyDescent="0.25">
      <c r="A109" s="7" t="s">
        <v>225</v>
      </c>
      <c r="B109" t="s">
        <v>618</v>
      </c>
    </row>
    <row r="110" spans="1:2" x14ac:dyDescent="0.25">
      <c r="A110" s="7" t="s">
        <v>226</v>
      </c>
      <c r="B110" t="s">
        <v>616</v>
      </c>
    </row>
    <row r="111" spans="1:2" x14ac:dyDescent="0.25">
      <c r="A111" s="7" t="s">
        <v>227</v>
      </c>
      <c r="B111" t="s">
        <v>616</v>
      </c>
    </row>
    <row r="112" spans="1:2" x14ac:dyDescent="0.25">
      <c r="A112" s="7" t="s">
        <v>249</v>
      </c>
      <c r="B112" t="s">
        <v>618</v>
      </c>
    </row>
    <row r="113" spans="1:2" x14ac:dyDescent="0.25">
      <c r="A113" s="7" t="s">
        <v>228</v>
      </c>
      <c r="B113" t="s">
        <v>618</v>
      </c>
    </row>
    <row r="114" spans="1:2" x14ac:dyDescent="0.25">
      <c r="A114" s="7" t="s">
        <v>229</v>
      </c>
      <c r="B114" t="s">
        <v>618</v>
      </c>
    </row>
    <row r="115" spans="1:2" x14ac:dyDescent="0.25">
      <c r="A115" s="7" t="s">
        <v>230</v>
      </c>
      <c r="B115" t="s">
        <v>618</v>
      </c>
    </row>
    <row r="116" spans="1:2" x14ac:dyDescent="0.25">
      <c r="A116" s="7" t="s">
        <v>231</v>
      </c>
      <c r="B116" t="s">
        <v>616</v>
      </c>
    </row>
    <row r="117" spans="1:2" x14ac:dyDescent="0.25">
      <c r="A117" s="7" t="s">
        <v>232</v>
      </c>
      <c r="B117" t="s">
        <v>616</v>
      </c>
    </row>
    <row r="118" spans="1:2" x14ac:dyDescent="0.25">
      <c r="A118" s="7" t="s">
        <v>233</v>
      </c>
      <c r="B118" t="s">
        <v>618</v>
      </c>
    </row>
    <row r="119" spans="1:2" x14ac:dyDescent="0.25">
      <c r="A119" s="7" t="s">
        <v>234</v>
      </c>
      <c r="B119" t="s">
        <v>618</v>
      </c>
    </row>
    <row r="120" spans="1:2" x14ac:dyDescent="0.25">
      <c r="A120" s="7" t="s">
        <v>235</v>
      </c>
      <c r="B120" t="s">
        <v>618</v>
      </c>
    </row>
    <row r="121" spans="1:2" x14ac:dyDescent="0.25">
      <c r="A121" s="7" t="s">
        <v>56</v>
      </c>
      <c r="B121" t="s">
        <v>616</v>
      </c>
    </row>
  </sheetData>
  <sheetProtection password="C5B9" sheet="1" objects="1" scenarios="1"/>
  <sortState ref="A89:B121">
    <sortCondition ref="A8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A1:J111"/>
  <sheetViews>
    <sheetView zoomScaleNormal="100" workbookViewId="0">
      <selection activeCell="J4" sqref="J4"/>
    </sheetView>
  </sheetViews>
  <sheetFormatPr defaultRowHeight="15" x14ac:dyDescent="0.25"/>
  <cols>
    <col min="1" max="1" width="47.140625" bestFit="1" customWidth="1"/>
    <col min="2" max="2" width="5.28515625" style="3" customWidth="1"/>
    <col min="4" max="4" width="48.140625" bestFit="1" customWidth="1"/>
    <col min="5" max="5" width="5.42578125" bestFit="1" customWidth="1"/>
  </cols>
  <sheetData>
    <row r="1" spans="1:10" ht="103.15" customHeight="1" x14ac:dyDescent="0.25">
      <c r="A1" s="6" t="s">
        <v>206</v>
      </c>
      <c r="B1" s="9" t="s">
        <v>207</v>
      </c>
    </row>
    <row r="2" spans="1:10" x14ac:dyDescent="0.25">
      <c r="A2" s="7" t="s">
        <v>250</v>
      </c>
      <c r="B2" s="11"/>
      <c r="J2" t="s">
        <v>878</v>
      </c>
    </row>
    <row r="3" spans="1:10" x14ac:dyDescent="0.25">
      <c r="A3" s="7" t="s">
        <v>251</v>
      </c>
      <c r="B3" s="11"/>
      <c r="J3" t="s">
        <v>879</v>
      </c>
    </row>
    <row r="4" spans="1:10" x14ac:dyDescent="0.25">
      <c r="A4" s="7" t="s">
        <v>488</v>
      </c>
      <c r="B4" s="11">
        <v>0.79</v>
      </c>
    </row>
    <row r="5" spans="1:10" x14ac:dyDescent="0.25">
      <c r="A5" s="7" t="s">
        <v>252</v>
      </c>
      <c r="B5" s="11">
        <v>0.79</v>
      </c>
    </row>
    <row r="6" spans="1:10" x14ac:dyDescent="0.25">
      <c r="A6" s="7" t="s">
        <v>483</v>
      </c>
      <c r="B6" s="11">
        <v>0.82</v>
      </c>
    </row>
    <row r="7" spans="1:10" x14ac:dyDescent="0.25">
      <c r="A7" s="7" t="s">
        <v>553</v>
      </c>
      <c r="B7" s="11">
        <v>0.43</v>
      </c>
    </row>
    <row r="8" spans="1:10" x14ac:dyDescent="0.25">
      <c r="A8" s="7" t="s">
        <v>484</v>
      </c>
      <c r="B8" s="11">
        <v>0.43</v>
      </c>
    </row>
    <row r="9" spans="1:10" x14ac:dyDescent="0.25">
      <c r="A9" s="7" t="s">
        <v>254</v>
      </c>
      <c r="B9" s="11">
        <v>1.1399999999999999</v>
      </c>
    </row>
    <row r="10" spans="1:10" x14ac:dyDescent="0.25">
      <c r="A10" s="7" t="s">
        <v>485</v>
      </c>
      <c r="B10" s="11">
        <v>0.43</v>
      </c>
    </row>
    <row r="11" spans="1:10" x14ac:dyDescent="0.25">
      <c r="A11" s="7" t="s">
        <v>253</v>
      </c>
      <c r="B11" s="11">
        <v>2.4300000000000002</v>
      </c>
    </row>
    <row r="12" spans="1:10" x14ac:dyDescent="0.25">
      <c r="A12" s="7" t="s">
        <v>486</v>
      </c>
      <c r="B12" s="11">
        <v>1.53</v>
      </c>
    </row>
    <row r="13" spans="1:10" x14ac:dyDescent="0.25">
      <c r="A13" s="7" t="s">
        <v>487</v>
      </c>
      <c r="B13" s="11">
        <v>0.43</v>
      </c>
    </row>
    <row r="14" spans="1:10" x14ac:dyDescent="0.25">
      <c r="A14" s="7" t="s">
        <v>554</v>
      </c>
      <c r="B14" s="11">
        <v>0.54</v>
      </c>
    </row>
    <row r="15" spans="1:10" x14ac:dyDescent="0.25">
      <c r="A15" s="7" t="s">
        <v>529</v>
      </c>
      <c r="B15" s="11">
        <v>0.67</v>
      </c>
    </row>
    <row r="16" spans="1:10" x14ac:dyDescent="0.25">
      <c r="A16" s="7" t="s">
        <v>489</v>
      </c>
      <c r="B16" s="11">
        <v>1.38</v>
      </c>
    </row>
    <row r="17" spans="1:5" x14ac:dyDescent="0.25">
      <c r="A17" s="7" t="s">
        <v>555</v>
      </c>
      <c r="B17" s="11">
        <v>1.24</v>
      </c>
    </row>
    <row r="18" spans="1:5" x14ac:dyDescent="0.25">
      <c r="A18" s="7" t="s">
        <v>490</v>
      </c>
      <c r="B18" s="11">
        <v>1.34</v>
      </c>
    </row>
    <row r="19" spans="1:5" x14ac:dyDescent="0.25">
      <c r="A19" s="7" t="s">
        <v>496</v>
      </c>
      <c r="B19" s="219">
        <v>1.24</v>
      </c>
      <c r="D19" s="267" t="s">
        <v>847</v>
      </c>
      <c r="E19" s="267">
        <v>1.24</v>
      </c>
    </row>
    <row r="20" spans="1:5" x14ac:dyDescent="0.25">
      <c r="A20" s="8" t="s">
        <v>255</v>
      </c>
      <c r="B20" s="11">
        <v>1.23</v>
      </c>
    </row>
    <row r="21" spans="1:5" x14ac:dyDescent="0.25">
      <c r="A21" s="8" t="s">
        <v>238</v>
      </c>
      <c r="B21" s="11">
        <v>1.1000000000000001</v>
      </c>
    </row>
    <row r="22" spans="1:5" x14ac:dyDescent="0.25">
      <c r="A22" s="7" t="s">
        <v>240</v>
      </c>
      <c r="B22" s="11">
        <v>1.45</v>
      </c>
    </row>
    <row r="23" spans="1:5" x14ac:dyDescent="0.25">
      <c r="A23" s="8" t="s">
        <v>491</v>
      </c>
      <c r="B23" s="219">
        <v>1.1100000000000001</v>
      </c>
      <c r="D23" s="267" t="s">
        <v>846</v>
      </c>
      <c r="E23" s="267">
        <v>1.1100000000000001</v>
      </c>
    </row>
    <row r="24" spans="1:5" x14ac:dyDescent="0.25">
      <c r="A24" s="7" t="s">
        <v>495</v>
      </c>
      <c r="B24" s="11">
        <v>0.66</v>
      </c>
    </row>
    <row r="25" spans="1:5" x14ac:dyDescent="0.25">
      <c r="A25" s="8" t="s">
        <v>492</v>
      </c>
      <c r="B25" s="11">
        <v>0.66</v>
      </c>
    </row>
    <row r="26" spans="1:5" x14ac:dyDescent="0.25">
      <c r="A26" s="8" t="s">
        <v>493</v>
      </c>
      <c r="B26" s="11">
        <v>0.89</v>
      </c>
    </row>
    <row r="27" spans="1:5" x14ac:dyDescent="0.25">
      <c r="A27" s="8" t="s">
        <v>494</v>
      </c>
      <c r="B27" s="11">
        <v>0.41</v>
      </c>
    </row>
    <row r="28" spans="1:5" x14ac:dyDescent="0.25">
      <c r="A28" s="7" t="s">
        <v>237</v>
      </c>
      <c r="B28" s="11">
        <v>1.72</v>
      </c>
    </row>
    <row r="29" spans="1:5" x14ac:dyDescent="0.25">
      <c r="A29" s="7" t="s">
        <v>502</v>
      </c>
      <c r="B29" s="11">
        <v>0.65</v>
      </c>
    </row>
    <row r="30" spans="1:5" x14ac:dyDescent="0.25">
      <c r="A30" s="7" t="s">
        <v>499</v>
      </c>
      <c r="B30" s="11">
        <v>1.31</v>
      </c>
    </row>
    <row r="31" spans="1:5" x14ac:dyDescent="0.25">
      <c r="A31" s="7" t="s">
        <v>500</v>
      </c>
      <c r="B31" s="11">
        <v>0.65</v>
      </c>
    </row>
    <row r="32" spans="1:5" x14ac:dyDescent="0.25">
      <c r="A32" s="7" t="s">
        <v>498</v>
      </c>
      <c r="B32" s="11">
        <v>0.65</v>
      </c>
    </row>
    <row r="33" spans="1:5" x14ac:dyDescent="0.25">
      <c r="A33" s="7" t="s">
        <v>501</v>
      </c>
      <c r="B33" s="11">
        <v>0.89</v>
      </c>
    </row>
    <row r="34" spans="1:5" x14ac:dyDescent="0.25">
      <c r="A34" s="7" t="s">
        <v>497</v>
      </c>
      <c r="B34" s="11">
        <v>0.65</v>
      </c>
    </row>
    <row r="35" spans="1:5" x14ac:dyDescent="0.25">
      <c r="A35" s="7" t="s">
        <v>530</v>
      </c>
      <c r="B35" s="11">
        <v>0.51</v>
      </c>
    </row>
    <row r="36" spans="1:5" x14ac:dyDescent="0.25">
      <c r="A36" s="7" t="s">
        <v>55</v>
      </c>
      <c r="B36" s="11">
        <v>0.95</v>
      </c>
    </row>
    <row r="37" spans="1:5" x14ac:dyDescent="0.25">
      <c r="A37" s="7" t="s">
        <v>503</v>
      </c>
      <c r="B37" s="219">
        <v>0.56000000000000005</v>
      </c>
    </row>
    <row r="38" spans="1:5" x14ac:dyDescent="0.25">
      <c r="A38" s="7" t="s">
        <v>527</v>
      </c>
      <c r="B38" s="219">
        <v>2.21</v>
      </c>
    </row>
    <row r="39" spans="1:5" x14ac:dyDescent="0.25">
      <c r="A39" s="7" t="s">
        <v>528</v>
      </c>
      <c r="B39" s="219">
        <v>2.41</v>
      </c>
    </row>
    <row r="40" spans="1:5" x14ac:dyDescent="0.25">
      <c r="A40" s="7" t="s">
        <v>531</v>
      </c>
      <c r="B40" s="219">
        <v>0.38</v>
      </c>
    </row>
    <row r="41" spans="1:5" x14ac:dyDescent="0.25">
      <c r="A41" s="7" t="s">
        <v>504</v>
      </c>
      <c r="B41" s="219">
        <v>0.99</v>
      </c>
      <c r="D41" s="267" t="s">
        <v>846</v>
      </c>
      <c r="E41" s="267">
        <v>1.21</v>
      </c>
    </row>
    <row r="42" spans="1:5" x14ac:dyDescent="0.25">
      <c r="A42" s="7" t="s">
        <v>505</v>
      </c>
      <c r="B42" s="219">
        <v>0.91</v>
      </c>
    </row>
    <row r="43" spans="1:5" x14ac:dyDescent="0.25">
      <c r="A43" s="7" t="s">
        <v>57</v>
      </c>
      <c r="B43" s="11">
        <v>1.2</v>
      </c>
    </row>
    <row r="44" spans="1:5" x14ac:dyDescent="0.25">
      <c r="A44" s="7" t="s">
        <v>532</v>
      </c>
      <c r="B44" s="11">
        <v>0.72</v>
      </c>
    </row>
    <row r="45" spans="1:5" x14ac:dyDescent="0.25">
      <c r="A45" s="7" t="s">
        <v>533</v>
      </c>
      <c r="B45" s="11">
        <v>1.66</v>
      </c>
    </row>
    <row r="46" spans="1:5" x14ac:dyDescent="0.25">
      <c r="A46" s="7" t="s">
        <v>534</v>
      </c>
      <c r="B46" s="219">
        <v>1.51</v>
      </c>
    </row>
    <row r="47" spans="1:5" x14ac:dyDescent="0.25">
      <c r="A47" s="7" t="s">
        <v>535</v>
      </c>
      <c r="B47" s="219">
        <v>0.74</v>
      </c>
    </row>
    <row r="48" spans="1:5" x14ac:dyDescent="0.25">
      <c r="A48" s="7" t="s">
        <v>536</v>
      </c>
      <c r="B48" s="219">
        <v>0.88</v>
      </c>
    </row>
    <row r="49" spans="1:2" x14ac:dyDescent="0.25">
      <c r="A49" s="7" t="s">
        <v>537</v>
      </c>
      <c r="B49" s="219">
        <v>0.71</v>
      </c>
    </row>
    <row r="50" spans="1:2" x14ac:dyDescent="0.25">
      <c r="A50" s="7" t="s">
        <v>538</v>
      </c>
      <c r="B50" s="219">
        <v>2.48</v>
      </c>
    </row>
    <row r="51" spans="1:2" x14ac:dyDescent="0.25">
      <c r="A51" s="7" t="s">
        <v>539</v>
      </c>
      <c r="B51" s="219">
        <v>0.62</v>
      </c>
    </row>
    <row r="52" spans="1:2" x14ac:dyDescent="0.25">
      <c r="A52" s="7" t="s">
        <v>540</v>
      </c>
      <c r="B52" s="219">
        <v>0.91</v>
      </c>
    </row>
    <row r="53" spans="1:2" x14ac:dyDescent="0.25">
      <c r="A53" s="7" t="s">
        <v>541</v>
      </c>
      <c r="B53" s="219">
        <v>1.1499999999999999</v>
      </c>
    </row>
    <row r="54" spans="1:2" x14ac:dyDescent="0.25">
      <c r="A54" s="7" t="s">
        <v>506</v>
      </c>
      <c r="B54" s="11">
        <v>1.28</v>
      </c>
    </row>
    <row r="55" spans="1:2" x14ac:dyDescent="0.25">
      <c r="A55" s="7" t="s">
        <v>507</v>
      </c>
      <c r="B55" s="11">
        <v>1.81</v>
      </c>
    </row>
    <row r="56" spans="1:2" x14ac:dyDescent="0.25">
      <c r="A56" s="7" t="s">
        <v>508</v>
      </c>
      <c r="B56" s="219">
        <v>0.6</v>
      </c>
    </row>
    <row r="57" spans="1:2" x14ac:dyDescent="0.25">
      <c r="A57" s="7" t="s">
        <v>261</v>
      </c>
      <c r="B57" s="11">
        <v>0.93</v>
      </c>
    </row>
    <row r="58" spans="1:2" x14ac:dyDescent="0.25">
      <c r="A58" s="7" t="s">
        <v>262</v>
      </c>
      <c r="B58" s="11">
        <v>1.71</v>
      </c>
    </row>
    <row r="59" spans="1:2" x14ac:dyDescent="0.25">
      <c r="A59" s="7" t="s">
        <v>509</v>
      </c>
      <c r="B59" s="219">
        <v>0.47</v>
      </c>
    </row>
    <row r="60" spans="1:2" x14ac:dyDescent="0.25">
      <c r="A60" s="7" t="s">
        <v>511</v>
      </c>
      <c r="B60" s="11">
        <v>0.9</v>
      </c>
    </row>
    <row r="61" spans="1:2" x14ac:dyDescent="0.25">
      <c r="A61" s="7" t="s">
        <v>256</v>
      </c>
      <c r="B61" s="11">
        <v>0.64</v>
      </c>
    </row>
    <row r="62" spans="1:2" x14ac:dyDescent="0.25">
      <c r="A62" s="7" t="s">
        <v>512</v>
      </c>
      <c r="B62" s="219">
        <v>1.8</v>
      </c>
    </row>
    <row r="63" spans="1:2" x14ac:dyDescent="0.25">
      <c r="A63" s="7" t="s">
        <v>510</v>
      </c>
      <c r="B63" s="219">
        <v>1.06</v>
      </c>
    </row>
    <row r="64" spans="1:2" x14ac:dyDescent="0.25">
      <c r="A64" s="7" t="s">
        <v>258</v>
      </c>
      <c r="B64" s="219">
        <v>0.59</v>
      </c>
    </row>
    <row r="65" spans="1:5" x14ac:dyDescent="0.25">
      <c r="A65" s="7" t="s">
        <v>257</v>
      </c>
      <c r="B65" s="11">
        <v>2</v>
      </c>
    </row>
    <row r="66" spans="1:5" x14ac:dyDescent="0.25">
      <c r="A66" s="7" t="s">
        <v>259</v>
      </c>
      <c r="B66" s="11">
        <v>0.75</v>
      </c>
    </row>
    <row r="67" spans="1:5" x14ac:dyDescent="0.25">
      <c r="A67" s="7" t="s">
        <v>514</v>
      </c>
      <c r="B67" s="11">
        <v>0.73</v>
      </c>
    </row>
    <row r="68" spans="1:5" x14ac:dyDescent="0.25">
      <c r="A68" s="7" t="s">
        <v>513</v>
      </c>
      <c r="B68" s="219">
        <v>0.92</v>
      </c>
    </row>
    <row r="69" spans="1:5" x14ac:dyDescent="0.25">
      <c r="A69" s="7" t="s">
        <v>241</v>
      </c>
      <c r="B69" s="11">
        <v>1.29</v>
      </c>
    </row>
    <row r="70" spans="1:5" x14ac:dyDescent="0.25">
      <c r="A70" s="7" t="s">
        <v>242</v>
      </c>
      <c r="B70" s="11">
        <v>0.95</v>
      </c>
    </row>
    <row r="71" spans="1:5" x14ac:dyDescent="0.25">
      <c r="A71" s="7" t="s">
        <v>263</v>
      </c>
      <c r="B71" s="11">
        <v>1.05</v>
      </c>
    </row>
    <row r="72" spans="1:5" x14ac:dyDescent="0.25">
      <c r="A72" s="7" t="s">
        <v>264</v>
      </c>
      <c r="B72" s="11">
        <v>1.23</v>
      </c>
    </row>
    <row r="73" spans="1:5" x14ac:dyDescent="0.25">
      <c r="A73" s="7" t="s">
        <v>265</v>
      </c>
      <c r="B73" s="11">
        <v>1.19</v>
      </c>
    </row>
    <row r="74" spans="1:5" x14ac:dyDescent="0.25">
      <c r="A74" s="7" t="s">
        <v>697</v>
      </c>
      <c r="B74" s="219">
        <v>0.51</v>
      </c>
    </row>
    <row r="75" spans="1:5" x14ac:dyDescent="0.25">
      <c r="A75" s="7" t="s">
        <v>243</v>
      </c>
      <c r="B75" s="219">
        <v>1.05</v>
      </c>
    </row>
    <row r="76" spans="1:5" x14ac:dyDescent="0.25">
      <c r="A76" s="7" t="s">
        <v>244</v>
      </c>
      <c r="B76" s="219">
        <v>1.02</v>
      </c>
    </row>
    <row r="77" spans="1:5" x14ac:dyDescent="0.25">
      <c r="A77" s="7" t="s">
        <v>515</v>
      </c>
      <c r="B77" s="220">
        <v>1.1100000000000001</v>
      </c>
      <c r="D77" s="267" t="s">
        <v>846</v>
      </c>
      <c r="E77" s="267">
        <v>1.1100000000000001</v>
      </c>
    </row>
    <row r="78" spans="1:5" x14ac:dyDescent="0.25">
      <c r="A78" s="7" t="s">
        <v>516</v>
      </c>
      <c r="B78" s="11">
        <v>1.1100000000000001</v>
      </c>
      <c r="D78" s="267" t="s">
        <v>846</v>
      </c>
      <c r="E78" s="267">
        <v>1.1100000000000001</v>
      </c>
    </row>
    <row r="79" spans="1:5" x14ac:dyDescent="0.25">
      <c r="A79" s="7" t="s">
        <v>260</v>
      </c>
      <c r="B79" s="11">
        <v>0.98</v>
      </c>
      <c r="D79" s="267" t="s">
        <v>848</v>
      </c>
    </row>
    <row r="80" spans="1:5" x14ac:dyDescent="0.25">
      <c r="A80" s="7" t="s">
        <v>517</v>
      </c>
      <c r="B80" s="219">
        <v>0.19</v>
      </c>
    </row>
    <row r="81" spans="1:2" x14ac:dyDescent="0.25">
      <c r="A81" s="7" t="s">
        <v>542</v>
      </c>
      <c r="B81" s="219">
        <v>0.61</v>
      </c>
    </row>
    <row r="82" spans="1:2" x14ac:dyDescent="0.25">
      <c r="A82" s="7" t="s">
        <v>518</v>
      </c>
      <c r="B82" s="219">
        <v>1.68</v>
      </c>
    </row>
    <row r="83" spans="1:2" x14ac:dyDescent="0.25">
      <c r="A83" s="7" t="s">
        <v>239</v>
      </c>
      <c r="B83" s="11">
        <v>0.94</v>
      </c>
    </row>
    <row r="84" spans="1:2" x14ac:dyDescent="0.25">
      <c r="A84" s="7" t="s">
        <v>246</v>
      </c>
      <c r="B84" s="219">
        <v>0.64</v>
      </c>
    </row>
    <row r="85" spans="1:2" x14ac:dyDescent="0.25">
      <c r="A85" s="7" t="s">
        <v>245</v>
      </c>
      <c r="B85" s="219">
        <v>1.53</v>
      </c>
    </row>
    <row r="86" spans="1:2" x14ac:dyDescent="0.25">
      <c r="A86" s="7" t="s">
        <v>520</v>
      </c>
      <c r="B86" s="11">
        <v>0.98</v>
      </c>
    </row>
    <row r="87" spans="1:2" x14ac:dyDescent="0.25">
      <c r="A87" s="7" t="s">
        <v>519</v>
      </c>
      <c r="B87" s="219">
        <v>1.21</v>
      </c>
    </row>
    <row r="88" spans="1:2" x14ac:dyDescent="0.25">
      <c r="A88" s="7" t="s">
        <v>266</v>
      </c>
      <c r="B88" s="219">
        <v>0.71</v>
      </c>
    </row>
    <row r="89" spans="1:2" x14ac:dyDescent="0.25">
      <c r="A89" s="7" t="s">
        <v>247</v>
      </c>
      <c r="B89" s="219">
        <v>1.1000000000000001</v>
      </c>
    </row>
    <row r="90" spans="1:2" x14ac:dyDescent="0.25">
      <c r="A90" s="7" t="s">
        <v>236</v>
      </c>
      <c r="B90" s="219">
        <v>1.3</v>
      </c>
    </row>
    <row r="91" spans="1:2" x14ac:dyDescent="0.25">
      <c r="A91" s="7" t="s">
        <v>521</v>
      </c>
      <c r="B91" s="219">
        <v>0.54</v>
      </c>
    </row>
    <row r="92" spans="1:2" x14ac:dyDescent="0.25">
      <c r="A92" s="7" t="s">
        <v>270</v>
      </c>
      <c r="B92" s="219">
        <v>3.68</v>
      </c>
    </row>
    <row r="93" spans="1:2" x14ac:dyDescent="0.25">
      <c r="A93" s="7" t="s">
        <v>269</v>
      </c>
      <c r="B93" s="219">
        <v>2.4</v>
      </c>
    </row>
    <row r="94" spans="1:2" x14ac:dyDescent="0.25">
      <c r="A94" s="7" t="s">
        <v>268</v>
      </c>
      <c r="B94" s="219">
        <v>1.8</v>
      </c>
    </row>
    <row r="95" spans="1:2" x14ac:dyDescent="0.25">
      <c r="A95" s="7" t="s">
        <v>267</v>
      </c>
      <c r="B95" s="219">
        <v>1.2</v>
      </c>
    </row>
    <row r="96" spans="1:2" x14ac:dyDescent="0.25">
      <c r="A96" s="7" t="s">
        <v>522</v>
      </c>
      <c r="B96" s="11">
        <v>0.69</v>
      </c>
    </row>
    <row r="97" spans="1:2" x14ac:dyDescent="0.25">
      <c r="A97" s="7" t="s">
        <v>525</v>
      </c>
      <c r="B97" s="11">
        <v>0.63</v>
      </c>
    </row>
    <row r="98" spans="1:2" x14ac:dyDescent="0.25">
      <c r="A98" s="7" t="s">
        <v>556</v>
      </c>
      <c r="B98" s="11">
        <v>0.63</v>
      </c>
    </row>
    <row r="99" spans="1:2" x14ac:dyDescent="0.25">
      <c r="A99" s="7" t="s">
        <v>523</v>
      </c>
      <c r="B99" s="11">
        <v>0.63</v>
      </c>
    </row>
    <row r="100" spans="1:2" x14ac:dyDescent="0.25">
      <c r="A100" s="7" t="s">
        <v>524</v>
      </c>
      <c r="B100" s="11">
        <v>0.63</v>
      </c>
    </row>
    <row r="101" spans="1:2" x14ac:dyDescent="0.25">
      <c r="A101" s="7" t="s">
        <v>544</v>
      </c>
      <c r="B101" s="219">
        <v>0.36</v>
      </c>
    </row>
    <row r="102" spans="1:2" x14ac:dyDescent="0.25">
      <c r="A102" s="7" t="s">
        <v>543</v>
      </c>
      <c r="B102" s="219">
        <v>0.53</v>
      </c>
    </row>
    <row r="103" spans="1:2" x14ac:dyDescent="0.25">
      <c r="A103" s="7" t="s">
        <v>545</v>
      </c>
      <c r="B103" s="219">
        <v>0.8</v>
      </c>
    </row>
    <row r="104" spans="1:2" x14ac:dyDescent="0.25">
      <c r="A104" s="7" t="s">
        <v>526</v>
      </c>
      <c r="B104" s="219">
        <v>6.7000000000000004E-2</v>
      </c>
    </row>
    <row r="105" spans="1:2" x14ac:dyDescent="0.25">
      <c r="A105" s="7" t="s">
        <v>546</v>
      </c>
      <c r="B105" s="219">
        <v>0.57999999999999996</v>
      </c>
    </row>
    <row r="106" spans="1:2" x14ac:dyDescent="0.25">
      <c r="A106" s="7" t="s">
        <v>547</v>
      </c>
      <c r="B106" s="219">
        <v>0.95</v>
      </c>
    </row>
    <row r="107" spans="1:2" x14ac:dyDescent="0.25">
      <c r="A107" s="7" t="s">
        <v>56</v>
      </c>
      <c r="B107" s="11">
        <v>1.59</v>
      </c>
    </row>
    <row r="108" spans="1:2" x14ac:dyDescent="0.25">
      <c r="A108" s="7"/>
      <c r="B108" s="11"/>
    </row>
    <row r="109" spans="1:2" x14ac:dyDescent="0.25">
      <c r="A109" s="7"/>
      <c r="B109" s="11"/>
    </row>
    <row r="110" spans="1:2" x14ac:dyDescent="0.25">
      <c r="A110" s="7"/>
      <c r="B110" s="11"/>
    </row>
    <row r="111" spans="1:2" x14ac:dyDescent="0.25">
      <c r="A111" s="7"/>
      <c r="B111" s="1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G111"/>
  <sheetViews>
    <sheetView workbookViewId="0">
      <selection activeCell="G43" sqref="E43:G44"/>
    </sheetView>
  </sheetViews>
  <sheetFormatPr defaultRowHeight="15" x14ac:dyDescent="0.25"/>
  <cols>
    <col min="1" max="1" width="21.5703125" bestFit="1" customWidth="1"/>
    <col min="2" max="4" width="4.7109375" style="3" customWidth="1"/>
    <col min="5" max="5" width="47.140625" bestFit="1" customWidth="1"/>
    <col min="6" max="6" width="5.28515625" style="3" customWidth="1"/>
  </cols>
  <sheetData>
    <row r="1" spans="1:7" ht="103.15" customHeight="1" x14ac:dyDescent="0.25">
      <c r="A1" s="6" t="s">
        <v>204</v>
      </c>
      <c r="B1" s="9" t="s">
        <v>205</v>
      </c>
      <c r="C1" s="9"/>
      <c r="D1" s="9"/>
      <c r="E1" s="6" t="s">
        <v>206</v>
      </c>
      <c r="F1" s="9" t="s">
        <v>207</v>
      </c>
    </row>
    <row r="2" spans="1:7" x14ac:dyDescent="0.25">
      <c r="A2" s="7" t="s">
        <v>208</v>
      </c>
      <c r="B2" s="10">
        <v>0.8</v>
      </c>
      <c r="C2" s="10">
        <v>0.9</v>
      </c>
      <c r="D2" s="10"/>
      <c r="E2" s="7" t="s">
        <v>250</v>
      </c>
      <c r="F2" s="11"/>
    </row>
    <row r="3" spans="1:7" x14ac:dyDescent="0.25">
      <c r="A3" s="7" t="s">
        <v>209</v>
      </c>
      <c r="B3" s="10">
        <v>1.01</v>
      </c>
      <c r="C3" s="10">
        <v>1.2</v>
      </c>
      <c r="D3" s="10"/>
      <c r="E3" s="7" t="s">
        <v>251</v>
      </c>
      <c r="F3" s="11"/>
    </row>
    <row r="4" spans="1:7" x14ac:dyDescent="0.25">
      <c r="A4" s="7" t="s">
        <v>210</v>
      </c>
      <c r="B4" s="10">
        <v>1.01</v>
      </c>
      <c r="C4" s="10">
        <v>1.2</v>
      </c>
      <c r="D4" s="10"/>
      <c r="E4" s="7" t="s">
        <v>488</v>
      </c>
      <c r="F4" s="11">
        <v>0.43</v>
      </c>
      <c r="G4">
        <v>0.9</v>
      </c>
    </row>
    <row r="5" spans="1:7" x14ac:dyDescent="0.25">
      <c r="A5" s="7" t="s">
        <v>211</v>
      </c>
      <c r="B5" s="10">
        <v>1.01</v>
      </c>
      <c r="C5" s="10">
        <v>1.3</v>
      </c>
      <c r="D5" s="10"/>
      <c r="E5" s="7" t="s">
        <v>252</v>
      </c>
      <c r="F5" s="11">
        <v>0.63</v>
      </c>
      <c r="G5">
        <v>0.9</v>
      </c>
    </row>
    <row r="6" spans="1:7" x14ac:dyDescent="0.25">
      <c r="A6" s="7" t="s">
        <v>212</v>
      </c>
      <c r="B6" s="10">
        <v>0.9</v>
      </c>
      <c r="C6" s="10">
        <v>1.4</v>
      </c>
      <c r="D6" s="10"/>
      <c r="E6" s="7" t="s">
        <v>483</v>
      </c>
      <c r="F6" s="11">
        <v>0.82</v>
      </c>
      <c r="G6">
        <v>0.7</v>
      </c>
    </row>
    <row r="7" spans="1:7" x14ac:dyDescent="0.25">
      <c r="A7" s="7" t="s">
        <v>213</v>
      </c>
      <c r="B7" s="10">
        <v>0.95</v>
      </c>
      <c r="C7" s="10">
        <v>1.6</v>
      </c>
      <c r="D7" s="10"/>
      <c r="E7" s="7" t="s">
        <v>553</v>
      </c>
      <c r="F7" s="11">
        <v>0.65</v>
      </c>
      <c r="G7">
        <v>0.3</v>
      </c>
    </row>
    <row r="8" spans="1:7" x14ac:dyDescent="0.25">
      <c r="A8" s="7" t="s">
        <v>214</v>
      </c>
      <c r="B8" s="10">
        <v>0.56999999999999995</v>
      </c>
      <c r="C8" s="10">
        <v>1</v>
      </c>
      <c r="D8" s="10"/>
      <c r="E8" s="7" t="s">
        <v>484</v>
      </c>
      <c r="F8" s="11">
        <v>0.65</v>
      </c>
      <c r="G8">
        <v>0.4</v>
      </c>
    </row>
    <row r="9" spans="1:7" x14ac:dyDescent="0.25">
      <c r="A9" s="7" t="s">
        <v>215</v>
      </c>
      <c r="B9" s="10">
        <v>0.84</v>
      </c>
      <c r="C9" s="10">
        <v>1</v>
      </c>
      <c r="D9" s="10"/>
      <c r="E9" s="7" t="s">
        <v>254</v>
      </c>
      <c r="F9" s="11">
        <v>1.1399999999999999</v>
      </c>
      <c r="G9">
        <v>1.2</v>
      </c>
    </row>
    <row r="10" spans="1:7" x14ac:dyDescent="0.25">
      <c r="A10" s="7" t="s">
        <v>248</v>
      </c>
      <c r="B10" s="10">
        <v>0.67</v>
      </c>
      <c r="C10" s="10">
        <v>1</v>
      </c>
      <c r="D10" s="10"/>
      <c r="E10" s="7" t="s">
        <v>485</v>
      </c>
      <c r="F10" s="11">
        <v>0.28000000000000003</v>
      </c>
      <c r="G10">
        <v>0.7</v>
      </c>
    </row>
    <row r="11" spans="1:7" x14ac:dyDescent="0.25">
      <c r="A11" s="7" t="s">
        <v>216</v>
      </c>
      <c r="B11" s="10">
        <v>0.94</v>
      </c>
      <c r="C11" s="10">
        <v>1.1000000000000001</v>
      </c>
      <c r="D11" s="10"/>
      <c r="E11" s="7" t="s">
        <v>253</v>
      </c>
      <c r="F11" s="11">
        <v>2.4300000000000002</v>
      </c>
      <c r="G11">
        <v>2.6</v>
      </c>
    </row>
    <row r="12" spans="1:7" x14ac:dyDescent="0.25">
      <c r="A12" s="7" t="s">
        <v>217</v>
      </c>
      <c r="B12" s="10">
        <v>0.9</v>
      </c>
      <c r="C12" s="10">
        <v>1</v>
      </c>
      <c r="D12" s="10"/>
      <c r="E12" s="7" t="s">
        <v>486</v>
      </c>
      <c r="F12" s="11">
        <v>1.53</v>
      </c>
      <c r="G12">
        <v>1.7</v>
      </c>
    </row>
    <row r="13" spans="1:7" x14ac:dyDescent="0.25">
      <c r="A13" s="7" t="s">
        <v>218</v>
      </c>
      <c r="B13" s="10">
        <v>1.05</v>
      </c>
      <c r="C13" s="10">
        <v>1.2</v>
      </c>
      <c r="D13" s="10"/>
      <c r="E13" s="7" t="s">
        <v>487</v>
      </c>
      <c r="F13" s="11">
        <v>0.43</v>
      </c>
      <c r="G13">
        <v>0.4</v>
      </c>
    </row>
    <row r="14" spans="1:7" x14ac:dyDescent="0.25">
      <c r="A14" s="7" t="s">
        <v>482</v>
      </c>
      <c r="B14" s="10">
        <v>0.87</v>
      </c>
      <c r="C14" s="10">
        <v>1.0900000000000001</v>
      </c>
      <c r="D14" s="10"/>
      <c r="E14" s="7" t="s">
        <v>554</v>
      </c>
      <c r="F14" s="11">
        <v>0.43</v>
      </c>
      <c r="G14">
        <v>0.5</v>
      </c>
    </row>
    <row r="15" spans="1:7" x14ac:dyDescent="0.25">
      <c r="A15" s="7" t="s">
        <v>219</v>
      </c>
      <c r="B15" s="10">
        <v>1.19</v>
      </c>
      <c r="C15" s="10">
        <v>1.3</v>
      </c>
      <c r="D15" s="10"/>
      <c r="E15" s="7" t="s">
        <v>529</v>
      </c>
      <c r="F15" s="11">
        <v>6.7000000000000004E-2</v>
      </c>
      <c r="G15">
        <v>0.7</v>
      </c>
    </row>
    <row r="16" spans="1:7" x14ac:dyDescent="0.25">
      <c r="A16" s="7" t="s">
        <v>220</v>
      </c>
      <c r="B16" s="10">
        <v>1.17</v>
      </c>
      <c r="C16" s="10">
        <v>1.17</v>
      </c>
      <c r="D16" s="10"/>
      <c r="E16" s="7" t="s">
        <v>489</v>
      </c>
      <c r="F16" s="11">
        <v>1.01</v>
      </c>
      <c r="G16">
        <v>1.5</v>
      </c>
    </row>
    <row r="17" spans="1:7" x14ac:dyDescent="0.25">
      <c r="A17" s="7" t="s">
        <v>221</v>
      </c>
      <c r="B17" s="10">
        <v>0.76</v>
      </c>
      <c r="C17" s="10">
        <v>1.2</v>
      </c>
      <c r="D17" s="10"/>
      <c r="E17" s="7" t="s">
        <v>555</v>
      </c>
      <c r="F17" s="11">
        <v>1.24</v>
      </c>
      <c r="G17">
        <v>1.4</v>
      </c>
    </row>
    <row r="18" spans="1:7" x14ac:dyDescent="0.25">
      <c r="A18" s="7" t="s">
        <v>222</v>
      </c>
      <c r="B18" s="10">
        <v>0.51</v>
      </c>
      <c r="C18" s="10">
        <v>0.7</v>
      </c>
      <c r="D18" s="10"/>
      <c r="E18" s="7" t="s">
        <v>490</v>
      </c>
      <c r="F18" s="11">
        <v>1.34</v>
      </c>
      <c r="G18">
        <v>1.3</v>
      </c>
    </row>
    <row r="19" spans="1:7" x14ac:dyDescent="0.25">
      <c r="A19" s="7" t="s">
        <v>223</v>
      </c>
      <c r="B19" s="10">
        <v>1.02</v>
      </c>
      <c r="C19" s="10">
        <v>1.1000000000000001</v>
      </c>
      <c r="D19" s="10"/>
      <c r="E19" s="7" t="s">
        <v>496</v>
      </c>
      <c r="F19" s="11">
        <v>1.71</v>
      </c>
      <c r="G19">
        <v>2.14</v>
      </c>
    </row>
    <row r="20" spans="1:7" x14ac:dyDescent="0.25">
      <c r="A20" s="7" t="s">
        <v>224</v>
      </c>
      <c r="B20" s="10">
        <v>0.82</v>
      </c>
      <c r="C20" s="10">
        <v>1</v>
      </c>
      <c r="D20" s="10"/>
      <c r="E20" s="8" t="s">
        <v>255</v>
      </c>
      <c r="F20" s="11">
        <v>1.23</v>
      </c>
      <c r="G20">
        <v>1.3</v>
      </c>
    </row>
    <row r="21" spans="1:7" x14ac:dyDescent="0.25">
      <c r="A21" s="7" t="s">
        <v>225</v>
      </c>
      <c r="B21" s="10">
        <v>0.21</v>
      </c>
      <c r="C21" s="10">
        <v>0.3</v>
      </c>
      <c r="D21" s="10"/>
      <c r="E21" s="8" t="s">
        <v>238</v>
      </c>
      <c r="F21" s="11">
        <v>0.81</v>
      </c>
      <c r="G21">
        <v>0.9</v>
      </c>
    </row>
    <row r="22" spans="1:7" x14ac:dyDescent="0.25">
      <c r="A22" s="7" t="s">
        <v>226</v>
      </c>
      <c r="B22" s="10">
        <v>0.81</v>
      </c>
      <c r="C22" s="10">
        <v>1</v>
      </c>
      <c r="D22" s="10"/>
      <c r="E22" s="7" t="s">
        <v>240</v>
      </c>
      <c r="F22" s="11">
        <v>1.45</v>
      </c>
      <c r="G22">
        <v>1.3</v>
      </c>
    </row>
    <row r="23" spans="1:7" x14ac:dyDescent="0.25">
      <c r="A23" s="7" t="s">
        <v>227</v>
      </c>
      <c r="B23" s="10">
        <v>1.39</v>
      </c>
      <c r="C23" s="10">
        <v>1.6</v>
      </c>
      <c r="D23" s="10"/>
      <c r="E23" s="8" t="s">
        <v>491</v>
      </c>
      <c r="F23" s="11">
        <v>0.72</v>
      </c>
      <c r="G23">
        <v>0.9</v>
      </c>
    </row>
    <row r="24" spans="1:7" x14ac:dyDescent="0.25">
      <c r="A24" s="7" t="s">
        <v>249</v>
      </c>
      <c r="B24" s="10">
        <v>0.87</v>
      </c>
      <c r="C24" s="10">
        <v>1</v>
      </c>
      <c r="D24" s="10"/>
      <c r="E24" s="7" t="s">
        <v>495</v>
      </c>
      <c r="F24" s="11">
        <v>0.66</v>
      </c>
      <c r="G24">
        <v>0.5</v>
      </c>
    </row>
    <row r="25" spans="1:7" x14ac:dyDescent="0.25">
      <c r="A25" s="7" t="s">
        <v>228</v>
      </c>
      <c r="B25" s="10">
        <v>0.87</v>
      </c>
      <c r="C25" s="10">
        <v>1.1000000000000001</v>
      </c>
      <c r="D25" s="10"/>
      <c r="E25" s="8" t="s">
        <v>492</v>
      </c>
      <c r="F25" s="11">
        <v>0.92</v>
      </c>
      <c r="G25">
        <v>1.1499999999999999</v>
      </c>
    </row>
    <row r="26" spans="1:7" x14ac:dyDescent="0.25">
      <c r="A26" s="7" t="s">
        <v>229</v>
      </c>
      <c r="B26" s="10">
        <v>1</v>
      </c>
      <c r="C26" s="10">
        <v>1.3</v>
      </c>
      <c r="D26" s="10"/>
      <c r="E26" s="8" t="s">
        <v>493</v>
      </c>
      <c r="F26" s="11">
        <v>0.99</v>
      </c>
      <c r="G26">
        <v>1</v>
      </c>
    </row>
    <row r="27" spans="1:7" x14ac:dyDescent="0.25">
      <c r="A27" s="7" t="s">
        <v>230</v>
      </c>
      <c r="B27" s="10">
        <v>1.26</v>
      </c>
      <c r="C27" s="10">
        <v>1.5</v>
      </c>
      <c r="D27" s="10"/>
      <c r="E27" s="8" t="s">
        <v>494</v>
      </c>
      <c r="F27" s="11">
        <v>0.41</v>
      </c>
      <c r="G27">
        <v>0.5</v>
      </c>
    </row>
    <row r="28" spans="1:7" x14ac:dyDescent="0.25">
      <c r="A28" s="7" t="s">
        <v>231</v>
      </c>
      <c r="B28" s="10">
        <v>0.87</v>
      </c>
      <c r="C28" s="10">
        <v>1.2</v>
      </c>
      <c r="D28" s="10"/>
      <c r="E28" s="7" t="s">
        <v>237</v>
      </c>
      <c r="F28" s="11">
        <v>1.72</v>
      </c>
      <c r="G28">
        <v>1.9</v>
      </c>
    </row>
    <row r="29" spans="1:7" x14ac:dyDescent="0.25">
      <c r="A29" s="7" t="s">
        <v>232</v>
      </c>
      <c r="B29" s="10">
        <v>0.91</v>
      </c>
      <c r="C29" s="10">
        <v>1.1000000000000001</v>
      </c>
      <c r="D29" s="10"/>
      <c r="E29" s="7" t="s">
        <v>502</v>
      </c>
      <c r="F29" s="11">
        <v>0.65</v>
      </c>
      <c r="G29">
        <v>0.9</v>
      </c>
    </row>
    <row r="30" spans="1:7" x14ac:dyDescent="0.25">
      <c r="A30" s="7" t="s">
        <v>233</v>
      </c>
      <c r="B30" s="10">
        <v>0.89</v>
      </c>
      <c r="C30" s="10">
        <v>1.1000000000000001</v>
      </c>
      <c r="D30" s="10"/>
      <c r="E30" s="7" t="s">
        <v>499</v>
      </c>
      <c r="F30" s="11">
        <v>1.07</v>
      </c>
      <c r="G30">
        <v>1.4</v>
      </c>
    </row>
    <row r="31" spans="1:7" x14ac:dyDescent="0.25">
      <c r="A31" s="7" t="s">
        <v>234</v>
      </c>
      <c r="B31" s="10">
        <v>0.7</v>
      </c>
      <c r="C31" s="10">
        <v>1</v>
      </c>
      <c r="D31" s="10"/>
      <c r="E31" s="7" t="s">
        <v>500</v>
      </c>
      <c r="F31" s="11">
        <v>0.65</v>
      </c>
      <c r="G31">
        <v>0.9</v>
      </c>
    </row>
    <row r="32" spans="1:7" x14ac:dyDescent="0.25">
      <c r="A32" s="7" t="s">
        <v>235</v>
      </c>
      <c r="B32" s="10">
        <v>0.66</v>
      </c>
      <c r="C32" s="10">
        <v>0.8</v>
      </c>
      <c r="D32" s="10"/>
      <c r="E32" s="7" t="s">
        <v>498</v>
      </c>
      <c r="F32" s="11">
        <v>2.65</v>
      </c>
      <c r="G32">
        <v>3.32</v>
      </c>
    </row>
    <row r="33" spans="1:7" x14ac:dyDescent="0.25">
      <c r="A33" s="7" t="s">
        <v>56</v>
      </c>
      <c r="B33" s="10">
        <v>1.19</v>
      </c>
      <c r="C33" s="10">
        <v>1.4</v>
      </c>
      <c r="D33" s="10"/>
      <c r="E33" s="7" t="s">
        <v>501</v>
      </c>
      <c r="F33" s="11">
        <v>0.89</v>
      </c>
      <c r="G33">
        <v>2.1</v>
      </c>
    </row>
    <row r="34" spans="1:7" x14ac:dyDescent="0.25">
      <c r="A34" s="7"/>
      <c r="B34" s="11"/>
      <c r="C34" s="11"/>
      <c r="D34" s="11"/>
      <c r="E34" s="7" t="s">
        <v>497</v>
      </c>
      <c r="F34" s="11">
        <v>0.96</v>
      </c>
      <c r="G34">
        <v>1.3</v>
      </c>
    </row>
    <row r="35" spans="1:7" x14ac:dyDescent="0.25">
      <c r="A35" s="7"/>
      <c r="B35" s="11"/>
      <c r="C35" s="11"/>
      <c r="D35" s="11"/>
      <c r="E35" s="7" t="s">
        <v>530</v>
      </c>
      <c r="F35" s="11">
        <v>0.38</v>
      </c>
      <c r="G35">
        <v>1.1100000000000001</v>
      </c>
    </row>
    <row r="36" spans="1:7" x14ac:dyDescent="0.25">
      <c r="A36" s="7"/>
      <c r="B36" s="11"/>
      <c r="C36" s="11"/>
      <c r="D36" s="11"/>
      <c r="E36" s="7" t="s">
        <v>55</v>
      </c>
      <c r="F36" s="11">
        <v>0.42</v>
      </c>
      <c r="G36">
        <v>1.5</v>
      </c>
    </row>
    <row r="37" spans="1:7" x14ac:dyDescent="0.25">
      <c r="A37" s="7"/>
      <c r="B37" s="11"/>
      <c r="C37" s="11"/>
      <c r="D37" s="11"/>
      <c r="E37" s="7" t="s">
        <v>503</v>
      </c>
      <c r="F37" s="11">
        <v>0.56000000000000005</v>
      </c>
      <c r="G37">
        <v>0.8</v>
      </c>
    </row>
    <row r="38" spans="1:7" x14ac:dyDescent="0.25">
      <c r="A38" s="7"/>
      <c r="B38" s="11"/>
      <c r="C38" s="11"/>
      <c r="D38" s="11"/>
      <c r="E38" s="7" t="s">
        <v>527</v>
      </c>
      <c r="F38" s="11">
        <v>2.21</v>
      </c>
      <c r="G38">
        <v>2.77</v>
      </c>
    </row>
    <row r="39" spans="1:7" x14ac:dyDescent="0.25">
      <c r="A39" s="7"/>
      <c r="B39" s="11"/>
      <c r="C39" s="11"/>
      <c r="D39" s="11"/>
      <c r="E39" s="7" t="s">
        <v>528</v>
      </c>
      <c r="F39" s="11">
        <v>2.41</v>
      </c>
      <c r="G39">
        <v>3.02</v>
      </c>
    </row>
    <row r="40" spans="1:7" x14ac:dyDescent="0.25">
      <c r="A40" s="7"/>
      <c r="B40" s="11"/>
      <c r="C40" s="11"/>
      <c r="D40" s="11"/>
      <c r="E40" s="7" t="s">
        <v>531</v>
      </c>
      <c r="F40" s="11">
        <v>0.38</v>
      </c>
      <c r="G40">
        <v>0.3</v>
      </c>
    </row>
    <row r="41" spans="1:7" x14ac:dyDescent="0.25">
      <c r="A41" s="7"/>
      <c r="B41" s="11"/>
      <c r="C41" s="11"/>
      <c r="D41" s="11"/>
      <c r="E41" s="7" t="s">
        <v>504</v>
      </c>
      <c r="F41" s="11">
        <v>1.21</v>
      </c>
      <c r="G41">
        <v>1.2</v>
      </c>
    </row>
    <row r="42" spans="1:7" x14ac:dyDescent="0.25">
      <c r="A42" s="7"/>
      <c r="B42" s="11"/>
      <c r="C42" s="11"/>
      <c r="D42" s="11"/>
      <c r="E42" s="7" t="s">
        <v>505</v>
      </c>
      <c r="F42" s="11">
        <v>0.91</v>
      </c>
      <c r="G42">
        <v>1.1399999999999999</v>
      </c>
    </row>
    <row r="43" spans="1:7" x14ac:dyDescent="0.25">
      <c r="A43" s="7"/>
      <c r="B43" s="11"/>
      <c r="C43" s="11"/>
      <c r="D43" s="11"/>
      <c r="E43" s="7" t="s">
        <v>57</v>
      </c>
      <c r="F43" s="11">
        <v>1.2</v>
      </c>
      <c r="G43">
        <v>1.4</v>
      </c>
    </row>
    <row r="44" spans="1:7" x14ac:dyDescent="0.25">
      <c r="A44" s="7"/>
      <c r="B44" s="11"/>
      <c r="C44" s="11"/>
      <c r="D44" s="11"/>
      <c r="E44" s="7" t="s">
        <v>532</v>
      </c>
      <c r="F44" s="11">
        <v>0.72</v>
      </c>
      <c r="G44">
        <v>0.9</v>
      </c>
    </row>
    <row r="45" spans="1:7" x14ac:dyDescent="0.25">
      <c r="A45" s="7"/>
      <c r="B45" s="11"/>
      <c r="C45" s="11"/>
      <c r="D45" s="11"/>
      <c r="E45" s="7" t="s">
        <v>533</v>
      </c>
      <c r="F45" s="11">
        <v>1.66</v>
      </c>
      <c r="G45">
        <v>1.5</v>
      </c>
    </row>
    <row r="46" spans="1:7" x14ac:dyDescent="0.25">
      <c r="A46" s="7"/>
      <c r="B46" s="11"/>
      <c r="C46" s="11"/>
      <c r="D46" s="11"/>
      <c r="E46" s="7" t="s">
        <v>534</v>
      </c>
      <c r="F46" s="11">
        <v>1.51</v>
      </c>
      <c r="G46">
        <v>0.4</v>
      </c>
    </row>
    <row r="47" spans="1:7" x14ac:dyDescent="0.25">
      <c r="A47" s="7"/>
      <c r="B47" s="11"/>
      <c r="C47" s="11"/>
      <c r="D47" s="11"/>
      <c r="E47" s="7" t="s">
        <v>535</v>
      </c>
      <c r="F47" s="11">
        <v>0.74</v>
      </c>
      <c r="G47">
        <v>1.4</v>
      </c>
    </row>
    <row r="48" spans="1:7" x14ac:dyDescent="0.25">
      <c r="A48" s="7"/>
      <c r="B48" s="11"/>
      <c r="C48" s="11"/>
      <c r="D48" s="11"/>
      <c r="E48" s="7" t="s">
        <v>536</v>
      </c>
      <c r="F48" s="11">
        <v>0.88</v>
      </c>
      <c r="G48">
        <v>0.6</v>
      </c>
    </row>
    <row r="49" spans="1:7" x14ac:dyDescent="0.25">
      <c r="A49" s="7"/>
      <c r="B49" s="11"/>
      <c r="C49" s="11"/>
      <c r="D49" s="11"/>
      <c r="E49" s="7" t="s">
        <v>537</v>
      </c>
      <c r="F49" s="11">
        <v>0.71</v>
      </c>
      <c r="G49">
        <v>1</v>
      </c>
    </row>
    <row r="50" spans="1:7" x14ac:dyDescent="0.25">
      <c r="A50" s="7"/>
      <c r="B50" s="11"/>
      <c r="C50" s="11"/>
      <c r="D50" s="11"/>
      <c r="E50" s="7" t="s">
        <v>538</v>
      </c>
      <c r="F50" s="11">
        <v>2.48</v>
      </c>
      <c r="G50">
        <v>2.2000000000000002</v>
      </c>
    </row>
    <row r="51" spans="1:7" x14ac:dyDescent="0.25">
      <c r="A51" s="7"/>
      <c r="B51" s="11"/>
      <c r="C51" s="11"/>
      <c r="D51" s="11"/>
      <c r="E51" s="7" t="s">
        <v>539</v>
      </c>
      <c r="F51" s="11">
        <v>0.62</v>
      </c>
      <c r="G51">
        <v>0.7</v>
      </c>
    </row>
    <row r="52" spans="1:7" x14ac:dyDescent="0.25">
      <c r="A52" s="7"/>
      <c r="B52" s="11"/>
      <c r="C52" s="11"/>
      <c r="D52" s="11"/>
      <c r="E52" s="7" t="s">
        <v>540</v>
      </c>
      <c r="F52" s="11">
        <v>0.91</v>
      </c>
      <c r="G52">
        <v>0.9</v>
      </c>
    </row>
    <row r="53" spans="1:7" x14ac:dyDescent="0.25">
      <c r="A53" s="7"/>
      <c r="B53" s="11"/>
      <c r="C53" s="11"/>
      <c r="D53" s="11"/>
      <c r="E53" s="7" t="s">
        <v>541</v>
      </c>
      <c r="F53" s="11">
        <v>1.1499999999999999</v>
      </c>
      <c r="G53">
        <v>0.8</v>
      </c>
    </row>
    <row r="54" spans="1:7" x14ac:dyDescent="0.25">
      <c r="A54" s="7"/>
      <c r="B54" s="11"/>
      <c r="C54" s="11"/>
      <c r="D54" s="11"/>
      <c r="E54" s="7" t="s">
        <v>506</v>
      </c>
      <c r="F54" s="11">
        <v>1.43</v>
      </c>
      <c r="G54">
        <v>1.4</v>
      </c>
    </row>
    <row r="55" spans="1:7" x14ac:dyDescent="0.25">
      <c r="A55" s="7"/>
      <c r="B55" s="11"/>
      <c r="C55" s="11"/>
      <c r="D55" s="11"/>
      <c r="E55" s="7" t="s">
        <v>507</v>
      </c>
      <c r="F55" s="11">
        <v>1.81</v>
      </c>
      <c r="G55">
        <v>1.4</v>
      </c>
    </row>
    <row r="56" spans="1:7" x14ac:dyDescent="0.25">
      <c r="A56" s="7"/>
      <c r="B56" s="11"/>
      <c r="C56" s="11"/>
      <c r="D56" s="11"/>
      <c r="E56" s="7" t="s">
        <v>508</v>
      </c>
      <c r="F56" s="11">
        <v>0.6</v>
      </c>
      <c r="G56">
        <v>0.6</v>
      </c>
    </row>
    <row r="57" spans="1:7" x14ac:dyDescent="0.25">
      <c r="A57" s="7"/>
      <c r="B57" s="11"/>
      <c r="C57" s="11"/>
      <c r="D57" s="11"/>
      <c r="E57" s="7" t="s">
        <v>261</v>
      </c>
      <c r="F57" s="11">
        <v>1.06</v>
      </c>
      <c r="G57">
        <v>1.2</v>
      </c>
    </row>
    <row r="58" spans="1:7" x14ac:dyDescent="0.25">
      <c r="A58" s="7"/>
      <c r="B58" s="11"/>
      <c r="C58" s="11"/>
      <c r="D58" s="11"/>
      <c r="E58" s="7" t="s">
        <v>262</v>
      </c>
      <c r="F58" s="11">
        <v>1.71</v>
      </c>
      <c r="G58">
        <v>1.7</v>
      </c>
    </row>
    <row r="59" spans="1:7" x14ac:dyDescent="0.25">
      <c r="A59" s="7"/>
      <c r="B59" s="11"/>
      <c r="C59" s="11"/>
      <c r="D59" s="11"/>
      <c r="E59" s="7" t="s">
        <v>509</v>
      </c>
      <c r="F59" s="11">
        <v>0.47</v>
      </c>
      <c r="G59">
        <v>0.59</v>
      </c>
    </row>
    <row r="60" spans="1:7" x14ac:dyDescent="0.25">
      <c r="A60" s="7"/>
      <c r="B60" s="11"/>
      <c r="C60" s="11"/>
      <c r="D60" s="11"/>
      <c r="E60" s="7" t="s">
        <v>511</v>
      </c>
      <c r="F60" s="11">
        <v>0.9</v>
      </c>
      <c r="G60">
        <v>1.3</v>
      </c>
    </row>
    <row r="61" spans="1:7" x14ac:dyDescent="0.25">
      <c r="A61" s="7"/>
      <c r="B61" s="11"/>
      <c r="C61" s="11"/>
      <c r="D61" s="11"/>
      <c r="E61" s="7" t="s">
        <v>256</v>
      </c>
      <c r="F61" s="11">
        <v>0.64</v>
      </c>
      <c r="G61">
        <v>0.8</v>
      </c>
    </row>
    <row r="62" spans="1:7" x14ac:dyDescent="0.25">
      <c r="A62" s="7"/>
      <c r="B62" s="11"/>
      <c r="C62" s="11"/>
      <c r="D62" s="11"/>
      <c r="E62" s="7" t="s">
        <v>512</v>
      </c>
      <c r="F62" s="11">
        <v>1.8</v>
      </c>
      <c r="G62">
        <v>2.2599999999999998</v>
      </c>
    </row>
    <row r="63" spans="1:7" x14ac:dyDescent="0.25">
      <c r="A63" s="7"/>
      <c r="B63" s="11"/>
      <c r="C63" s="11"/>
      <c r="D63" s="11"/>
      <c r="E63" s="7" t="s">
        <v>510</v>
      </c>
      <c r="F63" s="11">
        <v>1.06</v>
      </c>
      <c r="G63">
        <v>1.1000000000000001</v>
      </c>
    </row>
    <row r="64" spans="1:7" x14ac:dyDescent="0.25">
      <c r="A64" s="7"/>
      <c r="B64" s="11"/>
      <c r="C64" s="11"/>
      <c r="D64" s="11"/>
      <c r="E64" s="7" t="s">
        <v>258</v>
      </c>
      <c r="F64" s="11">
        <v>0.59</v>
      </c>
      <c r="G64">
        <v>1.1000000000000001</v>
      </c>
    </row>
    <row r="65" spans="1:7" x14ac:dyDescent="0.25">
      <c r="A65" s="7"/>
      <c r="B65" s="11"/>
      <c r="C65" s="11"/>
      <c r="D65" s="11"/>
      <c r="E65" s="7" t="s">
        <v>257</v>
      </c>
      <c r="F65" s="11">
        <v>2</v>
      </c>
      <c r="G65">
        <v>3.3</v>
      </c>
    </row>
    <row r="66" spans="1:7" x14ac:dyDescent="0.25">
      <c r="A66" s="7"/>
      <c r="B66" s="11"/>
      <c r="C66" s="11"/>
      <c r="D66" s="11"/>
      <c r="E66" s="7" t="s">
        <v>259</v>
      </c>
      <c r="F66" s="11">
        <v>0.75</v>
      </c>
      <c r="G66">
        <v>0.6</v>
      </c>
    </row>
    <row r="67" spans="1:7" x14ac:dyDescent="0.25">
      <c r="A67" s="7"/>
      <c r="B67" s="11"/>
      <c r="C67" s="11"/>
      <c r="D67" s="11"/>
      <c r="E67" s="7" t="s">
        <v>514</v>
      </c>
      <c r="F67" s="11">
        <v>0.73</v>
      </c>
      <c r="G67">
        <v>1.2</v>
      </c>
    </row>
    <row r="68" spans="1:7" x14ac:dyDescent="0.25">
      <c r="A68" s="7"/>
      <c r="B68" s="11"/>
      <c r="C68" s="11"/>
      <c r="D68" s="11"/>
      <c r="E68" s="7" t="s">
        <v>513</v>
      </c>
      <c r="F68" s="11">
        <v>0.92</v>
      </c>
      <c r="G68">
        <v>0.8</v>
      </c>
    </row>
    <row r="69" spans="1:7" x14ac:dyDescent="0.25">
      <c r="A69" s="7"/>
      <c r="B69" s="11"/>
      <c r="C69" s="11"/>
      <c r="D69" s="11"/>
      <c r="E69" s="7" t="s">
        <v>241</v>
      </c>
      <c r="F69" s="11">
        <v>1.29</v>
      </c>
      <c r="G69">
        <v>2.1</v>
      </c>
    </row>
    <row r="70" spans="1:7" x14ac:dyDescent="0.25">
      <c r="A70" s="7"/>
      <c r="B70" s="11"/>
      <c r="C70" s="11"/>
      <c r="D70" s="11"/>
      <c r="E70" s="7" t="s">
        <v>242</v>
      </c>
      <c r="F70" s="11">
        <v>0.74</v>
      </c>
      <c r="G70">
        <v>1.2</v>
      </c>
    </row>
    <row r="71" spans="1:7" x14ac:dyDescent="0.25">
      <c r="A71" s="7"/>
      <c r="B71" s="11"/>
      <c r="C71" s="11"/>
      <c r="D71" s="11"/>
      <c r="E71" s="7" t="s">
        <v>263</v>
      </c>
      <c r="F71" s="11">
        <v>1.05</v>
      </c>
      <c r="G71">
        <v>1.32</v>
      </c>
    </row>
    <row r="72" spans="1:7" x14ac:dyDescent="0.25">
      <c r="A72" s="7"/>
      <c r="B72" s="11"/>
      <c r="C72" s="11"/>
      <c r="D72" s="11"/>
      <c r="E72" s="7" t="s">
        <v>264</v>
      </c>
      <c r="F72" s="11">
        <v>1.23</v>
      </c>
      <c r="G72">
        <v>1.7</v>
      </c>
    </row>
    <row r="73" spans="1:7" x14ac:dyDescent="0.25">
      <c r="A73" s="7"/>
      <c r="B73" s="11"/>
      <c r="C73" s="11"/>
      <c r="D73" s="11"/>
      <c r="E73" s="7" t="s">
        <v>265</v>
      </c>
      <c r="F73" s="11">
        <v>1.19</v>
      </c>
      <c r="G73">
        <v>1.2</v>
      </c>
    </row>
    <row r="74" spans="1:7" x14ac:dyDescent="0.25">
      <c r="A74" s="7"/>
      <c r="B74" s="11"/>
      <c r="C74" s="11"/>
      <c r="D74" s="11"/>
      <c r="E74" s="7" t="s">
        <v>697</v>
      </c>
      <c r="F74" s="11">
        <v>0.51</v>
      </c>
      <c r="G74">
        <v>0.7</v>
      </c>
    </row>
    <row r="75" spans="1:7" x14ac:dyDescent="0.25">
      <c r="A75" s="7"/>
      <c r="B75" s="11"/>
      <c r="C75" s="11"/>
      <c r="D75" s="11"/>
      <c r="E75" s="7" t="s">
        <v>243</v>
      </c>
      <c r="F75" s="11">
        <v>1.05</v>
      </c>
      <c r="G75">
        <v>1</v>
      </c>
    </row>
    <row r="76" spans="1:7" x14ac:dyDescent="0.25">
      <c r="A76" s="7"/>
      <c r="B76" s="11"/>
      <c r="C76" s="11"/>
      <c r="D76" s="11"/>
      <c r="E76" s="7" t="s">
        <v>244</v>
      </c>
      <c r="F76" s="11">
        <v>1.02</v>
      </c>
      <c r="G76">
        <v>1.7</v>
      </c>
    </row>
    <row r="77" spans="1:7" x14ac:dyDescent="0.25">
      <c r="A77" s="7"/>
      <c r="B77" s="11"/>
      <c r="C77" s="11"/>
      <c r="D77" s="11"/>
      <c r="E77" s="7" t="s">
        <v>515</v>
      </c>
      <c r="F77" s="11">
        <v>1</v>
      </c>
      <c r="G77">
        <v>1.1000000000000001</v>
      </c>
    </row>
    <row r="78" spans="1:7" x14ac:dyDescent="0.25">
      <c r="A78" s="7"/>
      <c r="B78" s="11"/>
      <c r="C78" s="11"/>
      <c r="D78" s="11"/>
      <c r="E78" s="7" t="s">
        <v>516</v>
      </c>
      <c r="F78" s="11">
        <v>1</v>
      </c>
      <c r="G78">
        <v>1.1000000000000001</v>
      </c>
    </row>
    <row r="79" spans="1:7" x14ac:dyDescent="0.25">
      <c r="A79" s="7"/>
      <c r="B79" s="11"/>
      <c r="C79" s="11"/>
      <c r="D79" s="11"/>
      <c r="E79" s="7" t="s">
        <v>260</v>
      </c>
      <c r="F79" s="11">
        <v>0.9</v>
      </c>
      <c r="G79">
        <v>1.1000000000000001</v>
      </c>
    </row>
    <row r="80" spans="1:7" x14ac:dyDescent="0.25">
      <c r="A80" s="7"/>
      <c r="B80" s="11"/>
      <c r="C80" s="11"/>
      <c r="D80" s="11"/>
      <c r="E80" s="7" t="s">
        <v>517</v>
      </c>
      <c r="F80" s="11">
        <v>0.19</v>
      </c>
      <c r="G80">
        <v>0.2</v>
      </c>
    </row>
    <row r="81" spans="1:7" x14ac:dyDescent="0.25">
      <c r="A81" s="7"/>
      <c r="B81" s="11"/>
      <c r="C81" s="11"/>
      <c r="D81" s="11"/>
      <c r="E81" s="7" t="s">
        <v>542</v>
      </c>
      <c r="F81" s="11">
        <v>0.61</v>
      </c>
    </row>
    <row r="82" spans="1:7" x14ac:dyDescent="0.25">
      <c r="A82" s="7"/>
      <c r="B82" s="11"/>
      <c r="C82" s="11"/>
      <c r="D82" s="11"/>
      <c r="E82" s="7" t="s">
        <v>518</v>
      </c>
      <c r="F82" s="11">
        <v>1.68</v>
      </c>
      <c r="G82">
        <v>1.2</v>
      </c>
    </row>
    <row r="83" spans="1:7" x14ac:dyDescent="0.25">
      <c r="A83" s="7"/>
      <c r="B83" s="11"/>
      <c r="C83" s="11"/>
      <c r="D83" s="11"/>
      <c r="E83" s="7" t="s">
        <v>239</v>
      </c>
      <c r="F83" s="11">
        <v>0.94</v>
      </c>
      <c r="G83">
        <v>1.2</v>
      </c>
    </row>
    <row r="84" spans="1:7" x14ac:dyDescent="0.25">
      <c r="A84" s="7"/>
      <c r="B84" s="11"/>
      <c r="C84" s="11"/>
      <c r="D84" s="11"/>
      <c r="E84" s="7" t="s">
        <v>246</v>
      </c>
      <c r="F84" s="11">
        <v>0.64</v>
      </c>
      <c r="G84">
        <v>0.9</v>
      </c>
    </row>
    <row r="85" spans="1:7" x14ac:dyDescent="0.25">
      <c r="A85" s="7"/>
      <c r="B85" s="11"/>
      <c r="C85" s="11"/>
      <c r="D85" s="11"/>
      <c r="E85" s="7" t="s">
        <v>245</v>
      </c>
      <c r="F85" s="11">
        <v>1.53</v>
      </c>
      <c r="G85">
        <v>2.4</v>
      </c>
    </row>
    <row r="86" spans="1:7" x14ac:dyDescent="0.25">
      <c r="A86" s="7"/>
      <c r="B86" s="11"/>
      <c r="C86" s="11"/>
      <c r="D86" s="11"/>
      <c r="E86" s="7" t="s">
        <v>520</v>
      </c>
      <c r="F86" s="11">
        <v>0.98</v>
      </c>
      <c r="G86">
        <v>0.9</v>
      </c>
    </row>
    <row r="87" spans="1:7" x14ac:dyDescent="0.25">
      <c r="A87" s="7"/>
      <c r="B87" s="11"/>
      <c r="C87" s="11"/>
      <c r="D87" s="11"/>
      <c r="E87" s="7" t="s">
        <v>519</v>
      </c>
      <c r="F87" s="11">
        <v>1.21</v>
      </c>
      <c r="G87">
        <v>1.52</v>
      </c>
    </row>
    <row r="88" spans="1:7" x14ac:dyDescent="0.25">
      <c r="A88" s="7"/>
      <c r="B88" s="11"/>
      <c r="C88" s="11"/>
      <c r="D88" s="11"/>
      <c r="E88" s="7" t="s">
        <v>266</v>
      </c>
      <c r="F88" s="11">
        <v>0.71</v>
      </c>
      <c r="G88">
        <v>0.89</v>
      </c>
    </row>
    <row r="89" spans="1:7" x14ac:dyDescent="0.25">
      <c r="A89" s="7"/>
      <c r="B89" s="11"/>
      <c r="C89" s="11"/>
      <c r="D89" s="11"/>
      <c r="E89" s="7" t="s">
        <v>247</v>
      </c>
      <c r="F89" s="11">
        <v>1.1000000000000001</v>
      </c>
      <c r="G89">
        <v>1.7</v>
      </c>
    </row>
    <row r="90" spans="1:7" x14ac:dyDescent="0.25">
      <c r="A90" s="7"/>
      <c r="B90" s="11"/>
      <c r="C90" s="11"/>
      <c r="D90" s="11"/>
      <c r="E90" s="7" t="s">
        <v>236</v>
      </c>
      <c r="F90" s="11">
        <v>1.3</v>
      </c>
      <c r="G90">
        <v>1.7</v>
      </c>
    </row>
    <row r="91" spans="1:7" x14ac:dyDescent="0.25">
      <c r="A91" s="7"/>
      <c r="B91" s="11"/>
      <c r="C91" s="11"/>
      <c r="D91" s="11"/>
      <c r="E91" s="7" t="s">
        <v>521</v>
      </c>
      <c r="F91" s="11">
        <v>0.54</v>
      </c>
      <c r="G91">
        <v>0.68</v>
      </c>
    </row>
    <row r="92" spans="1:7" x14ac:dyDescent="0.25">
      <c r="A92" s="7"/>
      <c r="B92" s="11"/>
      <c r="C92" s="11"/>
      <c r="D92" s="11"/>
      <c r="E92" s="7" t="s">
        <v>270</v>
      </c>
      <c r="F92" s="11">
        <v>3.68</v>
      </c>
      <c r="G92">
        <v>4.6100000000000003</v>
      </c>
    </row>
    <row r="93" spans="1:7" x14ac:dyDescent="0.25">
      <c r="E93" s="7" t="s">
        <v>269</v>
      </c>
      <c r="F93" s="11">
        <v>2.4</v>
      </c>
      <c r="G93">
        <v>3.01</v>
      </c>
    </row>
    <row r="94" spans="1:7" x14ac:dyDescent="0.25">
      <c r="E94" s="7" t="s">
        <v>268</v>
      </c>
      <c r="F94" s="11">
        <v>1.8</v>
      </c>
      <c r="G94">
        <v>2.2599999999999998</v>
      </c>
    </row>
    <row r="95" spans="1:7" x14ac:dyDescent="0.25">
      <c r="E95" s="7" t="s">
        <v>267</v>
      </c>
      <c r="F95" s="11">
        <v>1.2</v>
      </c>
      <c r="G95">
        <v>1.5</v>
      </c>
    </row>
    <row r="96" spans="1:7" x14ac:dyDescent="0.25">
      <c r="E96" s="7" t="s">
        <v>522</v>
      </c>
      <c r="F96" s="11">
        <v>0.69</v>
      </c>
      <c r="G96">
        <v>0.6</v>
      </c>
    </row>
    <row r="97" spans="5:7" x14ac:dyDescent="0.25">
      <c r="E97" s="7" t="s">
        <v>525</v>
      </c>
      <c r="F97" s="11">
        <v>0.63</v>
      </c>
      <c r="G97">
        <v>0.8</v>
      </c>
    </row>
    <row r="98" spans="5:7" x14ac:dyDescent="0.25">
      <c r="E98" s="7" t="s">
        <v>556</v>
      </c>
      <c r="F98" s="11">
        <v>0.63</v>
      </c>
      <c r="G98">
        <v>0.9</v>
      </c>
    </row>
    <row r="99" spans="5:7" x14ac:dyDescent="0.25">
      <c r="E99" s="7" t="s">
        <v>523</v>
      </c>
      <c r="F99" s="11">
        <v>1.24</v>
      </c>
      <c r="G99">
        <v>0.8</v>
      </c>
    </row>
    <row r="100" spans="5:7" x14ac:dyDescent="0.25">
      <c r="E100" s="7" t="s">
        <v>524</v>
      </c>
      <c r="F100" s="11">
        <v>0.63</v>
      </c>
      <c r="G100">
        <v>0.8</v>
      </c>
    </row>
    <row r="101" spans="5:7" x14ac:dyDescent="0.25">
      <c r="E101" s="7" t="s">
        <v>544</v>
      </c>
      <c r="F101" s="11">
        <v>0.36</v>
      </c>
      <c r="G101">
        <v>0.6</v>
      </c>
    </row>
    <row r="102" spans="5:7" x14ac:dyDescent="0.25">
      <c r="E102" s="7" t="s">
        <v>543</v>
      </c>
      <c r="F102" s="11">
        <v>0.53</v>
      </c>
      <c r="G102">
        <v>1</v>
      </c>
    </row>
    <row r="103" spans="5:7" x14ac:dyDescent="0.25">
      <c r="E103" s="7" t="s">
        <v>545</v>
      </c>
      <c r="F103" s="11">
        <v>0.8</v>
      </c>
      <c r="G103">
        <v>1.5</v>
      </c>
    </row>
    <row r="104" spans="5:7" x14ac:dyDescent="0.25">
      <c r="E104" s="7" t="s">
        <v>526</v>
      </c>
      <c r="F104" s="11">
        <v>6.7000000000000004E-2</v>
      </c>
      <c r="G104">
        <v>0.7</v>
      </c>
    </row>
    <row r="105" spans="5:7" x14ac:dyDescent="0.25">
      <c r="E105" s="7" t="s">
        <v>546</v>
      </c>
      <c r="F105" s="11">
        <v>0.57999999999999996</v>
      </c>
      <c r="G105">
        <v>0.9</v>
      </c>
    </row>
    <row r="106" spans="5:7" x14ac:dyDescent="0.25">
      <c r="E106" s="7" t="s">
        <v>547</v>
      </c>
      <c r="F106" s="11">
        <v>0.95</v>
      </c>
      <c r="G106">
        <v>1.4</v>
      </c>
    </row>
    <row r="107" spans="5:7" x14ac:dyDescent="0.25">
      <c r="E107" s="7" t="s">
        <v>56</v>
      </c>
      <c r="F107" s="11">
        <v>1.59</v>
      </c>
      <c r="G107">
        <v>1.9</v>
      </c>
    </row>
    <row r="108" spans="5:7" x14ac:dyDescent="0.25">
      <c r="E108" s="7"/>
      <c r="F108" s="11"/>
    </row>
    <row r="109" spans="5:7" x14ac:dyDescent="0.25">
      <c r="E109" s="7"/>
      <c r="F109" s="11"/>
    </row>
    <row r="110" spans="5:7" x14ac:dyDescent="0.25">
      <c r="E110" s="7"/>
      <c r="F110" s="11"/>
    </row>
    <row r="111" spans="5:7" x14ac:dyDescent="0.25">
      <c r="E111" s="7"/>
      <c r="F111" s="11"/>
    </row>
  </sheetData>
  <sheetProtection password="C5B9" sheet="1" objects="1" scenarios="1"/>
  <sortState ref="A2:C33">
    <sortCondition ref="A1"/>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59999389629810485"/>
  </sheetPr>
  <dimension ref="A1:D12"/>
  <sheetViews>
    <sheetView workbookViewId="0">
      <selection activeCell="G43" sqref="E43:G44"/>
    </sheetView>
  </sheetViews>
  <sheetFormatPr defaultRowHeight="12.75" x14ac:dyDescent="0.2"/>
  <cols>
    <col min="1" max="1" width="9.140625" style="15"/>
    <col min="2" max="2" width="12" style="16" bestFit="1" customWidth="1"/>
    <col min="3" max="3" width="111.5703125" style="15" bestFit="1" customWidth="1"/>
    <col min="4" max="4" width="24.7109375" style="16" bestFit="1" customWidth="1"/>
    <col min="5" max="257" width="9.140625" style="15"/>
    <col min="258" max="258" width="12" style="15" bestFit="1" customWidth="1"/>
    <col min="259" max="259" width="111.5703125" style="15" bestFit="1" customWidth="1"/>
    <col min="260" max="260" width="24.7109375" style="15" bestFit="1" customWidth="1"/>
    <col min="261" max="513" width="9.140625" style="15"/>
    <col min="514" max="514" width="12" style="15" bestFit="1" customWidth="1"/>
    <col min="515" max="515" width="111.5703125" style="15" bestFit="1" customWidth="1"/>
    <col min="516" max="516" width="24.7109375" style="15" bestFit="1" customWidth="1"/>
    <col min="517" max="769" width="9.140625" style="15"/>
    <col min="770" max="770" width="12" style="15" bestFit="1" customWidth="1"/>
    <col min="771" max="771" width="111.5703125" style="15" bestFit="1" customWidth="1"/>
    <col min="772" max="772" width="24.7109375" style="15" bestFit="1" customWidth="1"/>
    <col min="773" max="1025" width="9.140625" style="15"/>
    <col min="1026" max="1026" width="12" style="15" bestFit="1" customWidth="1"/>
    <col min="1027" max="1027" width="111.5703125" style="15" bestFit="1" customWidth="1"/>
    <col min="1028" max="1028" width="24.7109375" style="15" bestFit="1" customWidth="1"/>
    <col min="1029" max="1281" width="9.140625" style="15"/>
    <col min="1282" max="1282" width="12" style="15" bestFit="1" customWidth="1"/>
    <col min="1283" max="1283" width="111.5703125" style="15" bestFit="1" customWidth="1"/>
    <col min="1284" max="1284" width="24.7109375" style="15" bestFit="1" customWidth="1"/>
    <col min="1285" max="1537" width="9.140625" style="15"/>
    <col min="1538" max="1538" width="12" style="15" bestFit="1" customWidth="1"/>
    <col min="1539" max="1539" width="111.5703125" style="15" bestFit="1" customWidth="1"/>
    <col min="1540" max="1540" width="24.7109375" style="15" bestFit="1" customWidth="1"/>
    <col min="1541" max="1793" width="9.140625" style="15"/>
    <col min="1794" max="1794" width="12" style="15" bestFit="1" customWidth="1"/>
    <col min="1795" max="1795" width="111.5703125" style="15" bestFit="1" customWidth="1"/>
    <col min="1796" max="1796" width="24.7109375" style="15" bestFit="1" customWidth="1"/>
    <col min="1797" max="2049" width="9.140625" style="15"/>
    <col min="2050" max="2050" width="12" style="15" bestFit="1" customWidth="1"/>
    <col min="2051" max="2051" width="111.5703125" style="15" bestFit="1" customWidth="1"/>
    <col min="2052" max="2052" width="24.7109375" style="15" bestFit="1" customWidth="1"/>
    <col min="2053" max="2305" width="9.140625" style="15"/>
    <col min="2306" max="2306" width="12" style="15" bestFit="1" customWidth="1"/>
    <col min="2307" max="2307" width="111.5703125" style="15" bestFit="1" customWidth="1"/>
    <col min="2308" max="2308" width="24.7109375" style="15" bestFit="1" customWidth="1"/>
    <col min="2309" max="2561" width="9.140625" style="15"/>
    <col min="2562" max="2562" width="12" style="15" bestFit="1" customWidth="1"/>
    <col min="2563" max="2563" width="111.5703125" style="15" bestFit="1" customWidth="1"/>
    <col min="2564" max="2564" width="24.7109375" style="15" bestFit="1" customWidth="1"/>
    <col min="2565" max="2817" width="9.140625" style="15"/>
    <col min="2818" max="2818" width="12" style="15" bestFit="1" customWidth="1"/>
    <col min="2819" max="2819" width="111.5703125" style="15" bestFit="1" customWidth="1"/>
    <col min="2820" max="2820" width="24.7109375" style="15" bestFit="1" customWidth="1"/>
    <col min="2821" max="3073" width="9.140625" style="15"/>
    <col min="3074" max="3074" width="12" style="15" bestFit="1" customWidth="1"/>
    <col min="3075" max="3075" width="111.5703125" style="15" bestFit="1" customWidth="1"/>
    <col min="3076" max="3076" width="24.7109375" style="15" bestFit="1" customWidth="1"/>
    <col min="3077" max="3329" width="9.140625" style="15"/>
    <col min="3330" max="3330" width="12" style="15" bestFit="1" customWidth="1"/>
    <col min="3331" max="3331" width="111.5703125" style="15" bestFit="1" customWidth="1"/>
    <col min="3332" max="3332" width="24.7109375" style="15" bestFit="1" customWidth="1"/>
    <col min="3333" max="3585" width="9.140625" style="15"/>
    <col min="3586" max="3586" width="12" style="15" bestFit="1" customWidth="1"/>
    <col min="3587" max="3587" width="111.5703125" style="15" bestFit="1" customWidth="1"/>
    <col min="3588" max="3588" width="24.7109375" style="15" bestFit="1" customWidth="1"/>
    <col min="3589" max="3841" width="9.140625" style="15"/>
    <col min="3842" max="3842" width="12" style="15" bestFit="1" customWidth="1"/>
    <col min="3843" max="3843" width="111.5703125" style="15" bestFit="1" customWidth="1"/>
    <col min="3844" max="3844" width="24.7109375" style="15" bestFit="1" customWidth="1"/>
    <col min="3845" max="4097" width="9.140625" style="15"/>
    <col min="4098" max="4098" width="12" style="15" bestFit="1" customWidth="1"/>
    <col min="4099" max="4099" width="111.5703125" style="15" bestFit="1" customWidth="1"/>
    <col min="4100" max="4100" width="24.7109375" style="15" bestFit="1" customWidth="1"/>
    <col min="4101" max="4353" width="9.140625" style="15"/>
    <col min="4354" max="4354" width="12" style="15" bestFit="1" customWidth="1"/>
    <col min="4355" max="4355" width="111.5703125" style="15" bestFit="1" customWidth="1"/>
    <col min="4356" max="4356" width="24.7109375" style="15" bestFit="1" customWidth="1"/>
    <col min="4357" max="4609" width="9.140625" style="15"/>
    <col min="4610" max="4610" width="12" style="15" bestFit="1" customWidth="1"/>
    <col min="4611" max="4611" width="111.5703125" style="15" bestFit="1" customWidth="1"/>
    <col min="4612" max="4612" width="24.7109375" style="15" bestFit="1" customWidth="1"/>
    <col min="4613" max="4865" width="9.140625" style="15"/>
    <col min="4866" max="4866" width="12" style="15" bestFit="1" customWidth="1"/>
    <col min="4867" max="4867" width="111.5703125" style="15" bestFit="1" customWidth="1"/>
    <col min="4868" max="4868" width="24.7109375" style="15" bestFit="1" customWidth="1"/>
    <col min="4869" max="5121" width="9.140625" style="15"/>
    <col min="5122" max="5122" width="12" style="15" bestFit="1" customWidth="1"/>
    <col min="5123" max="5123" width="111.5703125" style="15" bestFit="1" customWidth="1"/>
    <col min="5124" max="5124" width="24.7109375" style="15" bestFit="1" customWidth="1"/>
    <col min="5125" max="5377" width="9.140625" style="15"/>
    <col min="5378" max="5378" width="12" style="15" bestFit="1" customWidth="1"/>
    <col min="5379" max="5379" width="111.5703125" style="15" bestFit="1" customWidth="1"/>
    <col min="5380" max="5380" width="24.7109375" style="15" bestFit="1" customWidth="1"/>
    <col min="5381" max="5633" width="9.140625" style="15"/>
    <col min="5634" max="5634" width="12" style="15" bestFit="1" customWidth="1"/>
    <col min="5635" max="5635" width="111.5703125" style="15" bestFit="1" customWidth="1"/>
    <col min="5636" max="5636" width="24.7109375" style="15" bestFit="1" customWidth="1"/>
    <col min="5637" max="5889" width="9.140625" style="15"/>
    <col min="5890" max="5890" width="12" style="15" bestFit="1" customWidth="1"/>
    <col min="5891" max="5891" width="111.5703125" style="15" bestFit="1" customWidth="1"/>
    <col min="5892" max="5892" width="24.7109375" style="15" bestFit="1" customWidth="1"/>
    <col min="5893" max="6145" width="9.140625" style="15"/>
    <col min="6146" max="6146" width="12" style="15" bestFit="1" customWidth="1"/>
    <col min="6147" max="6147" width="111.5703125" style="15" bestFit="1" customWidth="1"/>
    <col min="6148" max="6148" width="24.7109375" style="15" bestFit="1" customWidth="1"/>
    <col min="6149" max="6401" width="9.140625" style="15"/>
    <col min="6402" max="6402" width="12" style="15" bestFit="1" customWidth="1"/>
    <col min="6403" max="6403" width="111.5703125" style="15" bestFit="1" customWidth="1"/>
    <col min="6404" max="6404" width="24.7109375" style="15" bestFit="1" customWidth="1"/>
    <col min="6405" max="6657" width="9.140625" style="15"/>
    <col min="6658" max="6658" width="12" style="15" bestFit="1" customWidth="1"/>
    <col min="6659" max="6659" width="111.5703125" style="15" bestFit="1" customWidth="1"/>
    <col min="6660" max="6660" width="24.7109375" style="15" bestFit="1" customWidth="1"/>
    <col min="6661" max="6913" width="9.140625" style="15"/>
    <col min="6914" max="6914" width="12" style="15" bestFit="1" customWidth="1"/>
    <col min="6915" max="6915" width="111.5703125" style="15" bestFit="1" customWidth="1"/>
    <col min="6916" max="6916" width="24.7109375" style="15" bestFit="1" customWidth="1"/>
    <col min="6917" max="7169" width="9.140625" style="15"/>
    <col min="7170" max="7170" width="12" style="15" bestFit="1" customWidth="1"/>
    <col min="7171" max="7171" width="111.5703125" style="15" bestFit="1" customWidth="1"/>
    <col min="7172" max="7172" width="24.7109375" style="15" bestFit="1" customWidth="1"/>
    <col min="7173" max="7425" width="9.140625" style="15"/>
    <col min="7426" max="7426" width="12" style="15" bestFit="1" customWidth="1"/>
    <col min="7427" max="7427" width="111.5703125" style="15" bestFit="1" customWidth="1"/>
    <col min="7428" max="7428" width="24.7109375" style="15" bestFit="1" customWidth="1"/>
    <col min="7429" max="7681" width="9.140625" style="15"/>
    <col min="7682" max="7682" width="12" style="15" bestFit="1" customWidth="1"/>
    <col min="7683" max="7683" width="111.5703125" style="15" bestFit="1" customWidth="1"/>
    <col min="7684" max="7684" width="24.7109375" style="15" bestFit="1" customWidth="1"/>
    <col min="7685" max="7937" width="9.140625" style="15"/>
    <col min="7938" max="7938" width="12" style="15" bestFit="1" customWidth="1"/>
    <col min="7939" max="7939" width="111.5703125" style="15" bestFit="1" customWidth="1"/>
    <col min="7940" max="7940" width="24.7109375" style="15" bestFit="1" customWidth="1"/>
    <col min="7941" max="8193" width="9.140625" style="15"/>
    <col min="8194" max="8194" width="12" style="15" bestFit="1" customWidth="1"/>
    <col min="8195" max="8195" width="111.5703125" style="15" bestFit="1" customWidth="1"/>
    <col min="8196" max="8196" width="24.7109375" style="15" bestFit="1" customWidth="1"/>
    <col min="8197" max="8449" width="9.140625" style="15"/>
    <col min="8450" max="8450" width="12" style="15" bestFit="1" customWidth="1"/>
    <col min="8451" max="8451" width="111.5703125" style="15" bestFit="1" customWidth="1"/>
    <col min="8452" max="8452" width="24.7109375" style="15" bestFit="1" customWidth="1"/>
    <col min="8453" max="8705" width="9.140625" style="15"/>
    <col min="8706" max="8706" width="12" style="15" bestFit="1" customWidth="1"/>
    <col min="8707" max="8707" width="111.5703125" style="15" bestFit="1" customWidth="1"/>
    <col min="8708" max="8708" width="24.7109375" style="15" bestFit="1" customWidth="1"/>
    <col min="8709" max="8961" width="9.140625" style="15"/>
    <col min="8962" max="8962" width="12" style="15" bestFit="1" customWidth="1"/>
    <col min="8963" max="8963" width="111.5703125" style="15" bestFit="1" customWidth="1"/>
    <col min="8964" max="8964" width="24.7109375" style="15" bestFit="1" customWidth="1"/>
    <col min="8965" max="9217" width="9.140625" style="15"/>
    <col min="9218" max="9218" width="12" style="15" bestFit="1" customWidth="1"/>
    <col min="9219" max="9219" width="111.5703125" style="15" bestFit="1" customWidth="1"/>
    <col min="9220" max="9220" width="24.7109375" style="15" bestFit="1" customWidth="1"/>
    <col min="9221" max="9473" width="9.140625" style="15"/>
    <col min="9474" max="9474" width="12" style="15" bestFit="1" customWidth="1"/>
    <col min="9475" max="9475" width="111.5703125" style="15" bestFit="1" customWidth="1"/>
    <col min="9476" max="9476" width="24.7109375" style="15" bestFit="1" customWidth="1"/>
    <col min="9477" max="9729" width="9.140625" style="15"/>
    <col min="9730" max="9730" width="12" style="15" bestFit="1" customWidth="1"/>
    <col min="9731" max="9731" width="111.5703125" style="15" bestFit="1" customWidth="1"/>
    <col min="9732" max="9732" width="24.7109375" style="15" bestFit="1" customWidth="1"/>
    <col min="9733" max="9985" width="9.140625" style="15"/>
    <col min="9986" max="9986" width="12" style="15" bestFit="1" customWidth="1"/>
    <col min="9987" max="9987" width="111.5703125" style="15" bestFit="1" customWidth="1"/>
    <col min="9988" max="9988" width="24.7109375" style="15" bestFit="1" customWidth="1"/>
    <col min="9989" max="10241" width="9.140625" style="15"/>
    <col min="10242" max="10242" width="12" style="15" bestFit="1" customWidth="1"/>
    <col min="10243" max="10243" width="111.5703125" style="15" bestFit="1" customWidth="1"/>
    <col min="10244" max="10244" width="24.7109375" style="15" bestFit="1" customWidth="1"/>
    <col min="10245" max="10497" width="9.140625" style="15"/>
    <col min="10498" max="10498" width="12" style="15" bestFit="1" customWidth="1"/>
    <col min="10499" max="10499" width="111.5703125" style="15" bestFit="1" customWidth="1"/>
    <col min="10500" max="10500" width="24.7109375" style="15" bestFit="1" customWidth="1"/>
    <col min="10501" max="10753" width="9.140625" style="15"/>
    <col min="10754" max="10754" width="12" style="15" bestFit="1" customWidth="1"/>
    <col min="10755" max="10755" width="111.5703125" style="15" bestFit="1" customWidth="1"/>
    <col min="10756" max="10756" width="24.7109375" style="15" bestFit="1" customWidth="1"/>
    <col min="10757" max="11009" width="9.140625" style="15"/>
    <col min="11010" max="11010" width="12" style="15" bestFit="1" customWidth="1"/>
    <col min="11011" max="11011" width="111.5703125" style="15" bestFit="1" customWidth="1"/>
    <col min="11012" max="11012" width="24.7109375" style="15" bestFit="1" customWidth="1"/>
    <col min="11013" max="11265" width="9.140625" style="15"/>
    <col min="11266" max="11266" width="12" style="15" bestFit="1" customWidth="1"/>
    <col min="11267" max="11267" width="111.5703125" style="15" bestFit="1" customWidth="1"/>
    <col min="11268" max="11268" width="24.7109375" style="15" bestFit="1" customWidth="1"/>
    <col min="11269" max="11521" width="9.140625" style="15"/>
    <col min="11522" max="11522" width="12" style="15" bestFit="1" customWidth="1"/>
    <col min="11523" max="11523" width="111.5703125" style="15" bestFit="1" customWidth="1"/>
    <col min="11524" max="11524" width="24.7109375" style="15" bestFit="1" customWidth="1"/>
    <col min="11525" max="11777" width="9.140625" style="15"/>
    <col min="11778" max="11778" width="12" style="15" bestFit="1" customWidth="1"/>
    <col min="11779" max="11779" width="111.5703125" style="15" bestFit="1" customWidth="1"/>
    <col min="11780" max="11780" width="24.7109375" style="15" bestFit="1" customWidth="1"/>
    <col min="11781" max="12033" width="9.140625" style="15"/>
    <col min="12034" max="12034" width="12" style="15" bestFit="1" customWidth="1"/>
    <col min="12035" max="12035" width="111.5703125" style="15" bestFit="1" customWidth="1"/>
    <col min="12036" max="12036" width="24.7109375" style="15" bestFit="1" customWidth="1"/>
    <col min="12037" max="12289" width="9.140625" style="15"/>
    <col min="12290" max="12290" width="12" style="15" bestFit="1" customWidth="1"/>
    <col min="12291" max="12291" width="111.5703125" style="15" bestFit="1" customWidth="1"/>
    <col min="12292" max="12292" width="24.7109375" style="15" bestFit="1" customWidth="1"/>
    <col min="12293" max="12545" width="9.140625" style="15"/>
    <col min="12546" max="12546" width="12" style="15" bestFit="1" customWidth="1"/>
    <col min="12547" max="12547" width="111.5703125" style="15" bestFit="1" customWidth="1"/>
    <col min="12548" max="12548" width="24.7109375" style="15" bestFit="1" customWidth="1"/>
    <col min="12549" max="12801" width="9.140625" style="15"/>
    <col min="12802" max="12802" width="12" style="15" bestFit="1" customWidth="1"/>
    <col min="12803" max="12803" width="111.5703125" style="15" bestFit="1" customWidth="1"/>
    <col min="12804" max="12804" width="24.7109375" style="15" bestFit="1" customWidth="1"/>
    <col min="12805" max="13057" width="9.140625" style="15"/>
    <col min="13058" max="13058" width="12" style="15" bestFit="1" customWidth="1"/>
    <col min="13059" max="13059" width="111.5703125" style="15" bestFit="1" customWidth="1"/>
    <col min="13060" max="13060" width="24.7109375" style="15" bestFit="1" customWidth="1"/>
    <col min="13061" max="13313" width="9.140625" style="15"/>
    <col min="13314" max="13314" width="12" style="15" bestFit="1" customWidth="1"/>
    <col min="13315" max="13315" width="111.5703125" style="15" bestFit="1" customWidth="1"/>
    <col min="13316" max="13316" width="24.7109375" style="15" bestFit="1" customWidth="1"/>
    <col min="13317" max="13569" width="9.140625" style="15"/>
    <col min="13570" max="13570" width="12" style="15" bestFit="1" customWidth="1"/>
    <col min="13571" max="13571" width="111.5703125" style="15" bestFit="1" customWidth="1"/>
    <col min="13572" max="13572" width="24.7109375" style="15" bestFit="1" customWidth="1"/>
    <col min="13573" max="13825" width="9.140625" style="15"/>
    <col min="13826" max="13826" width="12" style="15" bestFit="1" customWidth="1"/>
    <col min="13827" max="13827" width="111.5703125" style="15" bestFit="1" customWidth="1"/>
    <col min="13828" max="13828" width="24.7109375" style="15" bestFit="1" customWidth="1"/>
    <col min="13829" max="14081" width="9.140625" style="15"/>
    <col min="14082" max="14082" width="12" style="15" bestFit="1" customWidth="1"/>
    <col min="14083" max="14083" width="111.5703125" style="15" bestFit="1" customWidth="1"/>
    <col min="14084" max="14084" width="24.7109375" style="15" bestFit="1" customWidth="1"/>
    <col min="14085" max="14337" width="9.140625" style="15"/>
    <col min="14338" max="14338" width="12" style="15" bestFit="1" customWidth="1"/>
    <col min="14339" max="14339" width="111.5703125" style="15" bestFit="1" customWidth="1"/>
    <col min="14340" max="14340" width="24.7109375" style="15" bestFit="1" customWidth="1"/>
    <col min="14341" max="14593" width="9.140625" style="15"/>
    <col min="14594" max="14594" width="12" style="15" bestFit="1" customWidth="1"/>
    <col min="14595" max="14595" width="111.5703125" style="15" bestFit="1" customWidth="1"/>
    <col min="14596" max="14596" width="24.7109375" style="15" bestFit="1" customWidth="1"/>
    <col min="14597" max="14849" width="9.140625" style="15"/>
    <col min="14850" max="14850" width="12" style="15" bestFit="1" customWidth="1"/>
    <col min="14851" max="14851" width="111.5703125" style="15" bestFit="1" customWidth="1"/>
    <col min="14852" max="14852" width="24.7109375" style="15" bestFit="1" customWidth="1"/>
    <col min="14853" max="15105" width="9.140625" style="15"/>
    <col min="15106" max="15106" width="12" style="15" bestFit="1" customWidth="1"/>
    <col min="15107" max="15107" width="111.5703125" style="15" bestFit="1" customWidth="1"/>
    <col min="15108" max="15108" width="24.7109375" style="15" bestFit="1" customWidth="1"/>
    <col min="15109" max="15361" width="9.140625" style="15"/>
    <col min="15362" max="15362" width="12" style="15" bestFit="1" customWidth="1"/>
    <col min="15363" max="15363" width="111.5703125" style="15" bestFit="1" customWidth="1"/>
    <col min="15364" max="15364" width="24.7109375" style="15" bestFit="1" customWidth="1"/>
    <col min="15365" max="15617" width="9.140625" style="15"/>
    <col min="15618" max="15618" width="12" style="15" bestFit="1" customWidth="1"/>
    <col min="15619" max="15619" width="111.5703125" style="15" bestFit="1" customWidth="1"/>
    <col min="15620" max="15620" width="24.7109375" style="15" bestFit="1" customWidth="1"/>
    <col min="15621" max="15873" width="9.140625" style="15"/>
    <col min="15874" max="15874" width="12" style="15" bestFit="1" customWidth="1"/>
    <col min="15875" max="15875" width="111.5703125" style="15" bestFit="1" customWidth="1"/>
    <col min="15876" max="15876" width="24.7109375" style="15" bestFit="1" customWidth="1"/>
    <col min="15877" max="16129" width="9.140625" style="15"/>
    <col min="16130" max="16130" width="12" style="15" bestFit="1" customWidth="1"/>
    <col min="16131" max="16131" width="111.5703125" style="15" bestFit="1" customWidth="1"/>
    <col min="16132" max="16132" width="24.7109375" style="15" bestFit="1" customWidth="1"/>
    <col min="16133" max="16384" width="9.140625" style="15"/>
  </cols>
  <sheetData>
    <row r="1" spans="1:4" x14ac:dyDescent="0.2">
      <c r="B1" s="20" t="s">
        <v>279</v>
      </c>
      <c r="C1" s="20" t="s">
        <v>1</v>
      </c>
      <c r="D1" s="20" t="s">
        <v>280</v>
      </c>
    </row>
    <row r="2" spans="1:4" x14ac:dyDescent="0.2">
      <c r="A2" s="15">
        <v>1</v>
      </c>
      <c r="B2" s="21">
        <v>0</v>
      </c>
      <c r="C2" s="17" t="s">
        <v>281</v>
      </c>
      <c r="D2" s="21">
        <v>0</v>
      </c>
    </row>
    <row r="3" spans="1:4" x14ac:dyDescent="0.2">
      <c r="A3" s="15">
        <v>2</v>
      </c>
      <c r="B3" s="21">
        <v>1</v>
      </c>
      <c r="C3" s="17" t="s">
        <v>309</v>
      </c>
      <c r="D3" s="21">
        <v>500</v>
      </c>
    </row>
    <row r="4" spans="1:4" x14ac:dyDescent="0.2">
      <c r="A4" s="15">
        <v>3</v>
      </c>
      <c r="B4" s="21">
        <v>2</v>
      </c>
      <c r="C4" s="17" t="s">
        <v>310</v>
      </c>
      <c r="D4" s="21">
        <v>600</v>
      </c>
    </row>
    <row r="5" spans="1:4" x14ac:dyDescent="0.2">
      <c r="A5" s="15">
        <v>4</v>
      </c>
      <c r="B5" s="21">
        <v>3</v>
      </c>
      <c r="C5" s="17" t="s">
        <v>311</v>
      </c>
      <c r="D5" s="21">
        <v>750</v>
      </c>
    </row>
    <row r="6" spans="1:4" x14ac:dyDescent="0.2">
      <c r="A6" s="15">
        <v>5</v>
      </c>
      <c r="B6" s="21">
        <v>4</v>
      </c>
      <c r="C6" s="17" t="s">
        <v>103</v>
      </c>
      <c r="D6" s="21">
        <v>1300</v>
      </c>
    </row>
    <row r="11" spans="1:4" x14ac:dyDescent="0.2">
      <c r="B11" s="16" t="s">
        <v>282</v>
      </c>
    </row>
    <row r="12" spans="1:4" x14ac:dyDescent="0.2">
      <c r="B12" s="16" t="s">
        <v>283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74</vt:i4>
      </vt:variant>
    </vt:vector>
  </HeadingPairs>
  <TitlesOfParts>
    <vt:vector size="118" baseType="lpstr">
      <vt:lpstr>Schedules - Assembly</vt:lpstr>
      <vt:lpstr>Schedules - Office</vt:lpstr>
      <vt:lpstr>Schedules - Retail</vt:lpstr>
      <vt:lpstr>Schedules - Dwelling Unit</vt:lpstr>
      <vt:lpstr>SCA Instructions</vt:lpstr>
      <vt:lpstr>Lists</vt:lpstr>
      <vt:lpstr>GSG LPD</vt:lpstr>
      <vt:lpstr>Lighting Lookup</vt:lpstr>
      <vt:lpstr>Lighting Zones</vt:lpstr>
      <vt:lpstr>Raw Data</vt:lpstr>
      <vt:lpstr>GSG Avg Rotations</vt:lpstr>
      <vt:lpstr>SCA Exec Summary</vt:lpstr>
      <vt:lpstr>SCA ECM Summary</vt:lpstr>
      <vt:lpstr>SCA Usage Summary</vt:lpstr>
      <vt:lpstr>SCA Window Summary</vt:lpstr>
      <vt:lpstr>SCA Wall Summary</vt:lpstr>
      <vt:lpstr>SCA Interior Lighting Summary</vt:lpstr>
      <vt:lpstr>SCA Ext LPD Process Equ</vt:lpstr>
      <vt:lpstr>SCA HVAC Air Class</vt:lpstr>
      <vt:lpstr>SCA HW Summary</vt:lpstr>
      <vt:lpstr>SCA CHW Summary</vt:lpstr>
      <vt:lpstr>General Checklist</vt:lpstr>
      <vt:lpstr>Output Checklist</vt:lpstr>
      <vt:lpstr>GSG_List</vt:lpstr>
      <vt:lpstr>DOB Instructions</vt:lpstr>
      <vt:lpstr>1,2,3 Information</vt:lpstr>
      <vt:lpstr>4. Purchased Energy Rates</vt:lpstr>
      <vt:lpstr>4a. Avg. Rotations</vt:lpstr>
      <vt:lpstr>5. Usage Summary</vt:lpstr>
      <vt:lpstr>6a. Ext. Wall Areas</vt:lpstr>
      <vt:lpstr>6b. Fenestration</vt:lpstr>
      <vt:lpstr>6c. Wall Types</vt:lpstr>
      <vt:lpstr>6d. Interior LPD-Space Method</vt:lpstr>
      <vt:lpstr>6d. Interior LPD-Bldg  Method</vt:lpstr>
      <vt:lpstr>6e. Ext LPD 6f. Process Equip.</vt:lpstr>
      <vt:lpstr>Ext LPD Calculator</vt:lpstr>
      <vt:lpstr>6g. Service HW</vt:lpstr>
      <vt:lpstr>6i. HVAC Air-Side </vt:lpstr>
      <vt:lpstr>6i. HVAC Air-Side  (2)</vt:lpstr>
      <vt:lpstr>6j. HVAC Water-side CHW  </vt:lpstr>
      <vt:lpstr>6j. HVAC Water-side CW&amp;CT</vt:lpstr>
      <vt:lpstr>6l. HVAC Water-side HW&amp;Steam</vt:lpstr>
      <vt:lpstr>6m. HVAC- Geothermal</vt:lpstr>
      <vt:lpstr>6n. CHP</vt:lpstr>
      <vt:lpstr>BAMCategories</vt:lpstr>
      <vt:lpstr>BSA</vt:lpstr>
      <vt:lpstr>'SCA CHW Summary'!Doors</vt:lpstr>
      <vt:lpstr>'SCA HVAC Air Class'!Doors</vt:lpstr>
      <vt:lpstr>Doors</vt:lpstr>
      <vt:lpstr>'SCA CHW Summary'!Env_Type</vt:lpstr>
      <vt:lpstr>'SCA HVAC Air Class'!Env_Type</vt:lpstr>
      <vt:lpstr>Env_Type</vt:lpstr>
      <vt:lpstr>'SCA CHW Summary'!Fenestration</vt:lpstr>
      <vt:lpstr>'SCA HVAC Air Class'!Fenestration</vt:lpstr>
      <vt:lpstr>Fenestration</vt:lpstr>
      <vt:lpstr>'SCA CHW Summary'!Floor</vt:lpstr>
      <vt:lpstr>'SCA HVAC Air Class'!Floor</vt:lpstr>
      <vt:lpstr>Floor</vt:lpstr>
      <vt:lpstr>GSG_Doors</vt:lpstr>
      <vt:lpstr>GSG_Env_Type</vt:lpstr>
      <vt:lpstr>GSG_Fenestration</vt:lpstr>
      <vt:lpstr>GSG_Floor</vt:lpstr>
      <vt:lpstr>GSG_HVAC</vt:lpstr>
      <vt:lpstr>GSG_Ltg_Space</vt:lpstr>
      <vt:lpstr>GSG_Roof_Type</vt:lpstr>
      <vt:lpstr>GSG_Slab</vt:lpstr>
      <vt:lpstr>GSG_Type</vt:lpstr>
      <vt:lpstr>GSG_Wall_Type</vt:lpstr>
      <vt:lpstr>HVAC</vt:lpstr>
      <vt:lpstr>Ltg_Bldg</vt:lpstr>
      <vt:lpstr>'SCA CHW Summary'!Ltg_Space</vt:lpstr>
      <vt:lpstr>'SCA HVAC Air Class'!Ltg_Space</vt:lpstr>
      <vt:lpstr>Ltg_Space</vt:lpstr>
      <vt:lpstr>LZ</vt:lpstr>
      <vt:lpstr>LZDEC</vt:lpstr>
      <vt:lpstr>LZONE</vt:lpstr>
      <vt:lpstr>'1,2,3 Information'!Print_Area</vt:lpstr>
      <vt:lpstr>'4. Purchased Energy Rates'!Print_Area</vt:lpstr>
      <vt:lpstr>'4a. Avg. Rotations'!Print_Area</vt:lpstr>
      <vt:lpstr>'5. Usage Summary'!Print_Area</vt:lpstr>
      <vt:lpstr>'6a. Ext. Wall Areas'!Print_Area</vt:lpstr>
      <vt:lpstr>'6b. Fenestration'!Print_Area</vt:lpstr>
      <vt:lpstr>'6c. Wall Types'!Print_Area</vt:lpstr>
      <vt:lpstr>'6d. Interior LPD-Bldg  Method'!Print_Area</vt:lpstr>
      <vt:lpstr>'6d. Interior LPD-Space Method'!Print_Area</vt:lpstr>
      <vt:lpstr>'6e. Ext LPD 6f. Process Equip.'!Print_Area</vt:lpstr>
      <vt:lpstr>'6g. Service HW'!Print_Area</vt:lpstr>
      <vt:lpstr>'6i. HVAC Air-Side '!Print_Area</vt:lpstr>
      <vt:lpstr>'6i. HVAC Air-Side  (2)'!Print_Area</vt:lpstr>
      <vt:lpstr>'6j. HVAC Water-side CHW  '!Print_Area</vt:lpstr>
      <vt:lpstr>'6j. HVAC Water-side CW&amp;CT'!Print_Area</vt:lpstr>
      <vt:lpstr>'6l. HVAC Water-side HW&amp;Steam'!Print_Area</vt:lpstr>
      <vt:lpstr>'6m. HVAC- Geothermal'!Print_Area</vt:lpstr>
      <vt:lpstr>'6n. CHP'!Print_Area</vt:lpstr>
      <vt:lpstr>'DOB Instructions'!Print_Area</vt:lpstr>
      <vt:lpstr>'Ext LPD Calculator'!Print_Area</vt:lpstr>
      <vt:lpstr>'GSG Avg Rotations'!Print_Area</vt:lpstr>
      <vt:lpstr>'SCA Ext LPD Process Equ'!Print_Area</vt:lpstr>
      <vt:lpstr>'6b. Fenestration'!Res</vt:lpstr>
      <vt:lpstr>'6c. Wall Types'!Res</vt:lpstr>
      <vt:lpstr>'SCA Wall Summary'!Res</vt:lpstr>
      <vt:lpstr>'SCA Window Summary'!Res</vt:lpstr>
      <vt:lpstr>'SCA CHW Summary'!Roof_Type</vt:lpstr>
      <vt:lpstr>'SCA HVAC Air Class'!Roof_Type</vt:lpstr>
      <vt:lpstr>Roof_Type</vt:lpstr>
      <vt:lpstr>'SCA CHW Summary'!Slab</vt:lpstr>
      <vt:lpstr>'SCA HVAC Air Class'!Slab</vt:lpstr>
      <vt:lpstr>Slab</vt:lpstr>
      <vt:lpstr>SURFACE2</vt:lpstr>
      <vt:lpstr>SxSCategories</vt:lpstr>
      <vt:lpstr>Type</vt:lpstr>
      <vt:lpstr>'SCA CHW Summary'!Wall_Type</vt:lpstr>
      <vt:lpstr>'SCA HVAC Air Class'!Wall_Type</vt:lpstr>
      <vt:lpstr>Wall_Type</vt:lpstr>
      <vt:lpstr>'SCA CHW Summary'!Yes_No</vt:lpstr>
      <vt:lpstr>'SCA HVAC Air Class'!Yes_No</vt:lpstr>
      <vt:lpstr>Yes_No</vt:lpstr>
      <vt:lpstr>YESNO</vt:lpstr>
    </vt:vector>
  </TitlesOfParts>
  <Company>City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Buildings</dc:creator>
  <cp:lastModifiedBy>AHMAD, FARAH</cp:lastModifiedBy>
  <cp:lastPrinted>2019-08-27T19:53:42Z</cp:lastPrinted>
  <dcterms:created xsi:type="dcterms:W3CDTF">2014-11-12T15:40:18Z</dcterms:created>
  <dcterms:modified xsi:type="dcterms:W3CDTF">2020-01-07T13:23:30Z</dcterms:modified>
</cp:coreProperties>
</file>